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2.xml" ContentType="application/vnd.ms-office.chartstyle+xml"/>
  <Override PartName="/xl/charts/colors2.xml" ContentType="application/vnd.ms-office.chartcolorstyle+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theme/themeOverride5.xml" ContentType="application/vnd.openxmlformats-officedocument.themeOverride+xml"/>
  <Override PartName="/xl/charts/chart10.xml" ContentType="application/vnd.openxmlformats-officedocument.drawingml.chart+xml"/>
  <Override PartName="/xl/theme/themeOverride6.xml" ContentType="application/vnd.openxmlformats-officedocument.themeOverride+xml"/>
  <Override PartName="/xl/drawings/drawing9.xml" ContentType="application/vnd.openxmlformats-officedocument.drawing+xml"/>
  <Override PartName="/xl/charts/chart11.xml" ContentType="application/vnd.openxmlformats-officedocument.drawingml.chart+xml"/>
  <Override PartName="/xl/theme/themeOverride7.xml" ContentType="application/vnd.openxmlformats-officedocument.themeOverride+xml"/>
  <Override PartName="/xl/charts/chart12.xml" ContentType="application/vnd.openxmlformats-officedocument.drawingml.chart+xml"/>
  <Override PartName="/xl/theme/themeOverride8.xml" ContentType="application/vnd.openxmlformats-officedocument.themeOverride+xml"/>
  <Override PartName="/xl/drawings/drawing10.xml" ContentType="application/vnd.openxmlformats-officedocument.drawingml.chartshapes+xml"/>
  <Override PartName="/xl/charts/chart13.xml" ContentType="application/vnd.openxmlformats-officedocument.drawingml.chart+xml"/>
  <Override PartName="/xl/theme/themeOverride9.xml" ContentType="application/vnd.openxmlformats-officedocument.themeOverride+xml"/>
  <Override PartName="/xl/drawings/drawing11.xml" ContentType="application/vnd.openxmlformats-officedocument.drawingml.chartshapes+xml"/>
  <Override PartName="/xl/charts/chart14.xml" ContentType="application/vnd.openxmlformats-officedocument.drawingml.chart+xml"/>
  <Override PartName="/xl/theme/themeOverride10.xml" ContentType="application/vnd.openxmlformats-officedocument.themeOverride+xml"/>
  <Override PartName="/xl/charts/chart15.xml" ContentType="application/vnd.openxmlformats-officedocument.drawingml.chart+xml"/>
  <Override PartName="/xl/theme/themeOverride11.xml" ContentType="application/vnd.openxmlformats-officedocument.themeOverride+xml"/>
  <Override PartName="/xl/drawings/drawing12.xml" ContentType="application/vnd.openxmlformats-officedocument.drawing+xml"/>
  <Override PartName="/xl/charts/chart16.xml" ContentType="application/vnd.openxmlformats-officedocument.drawingml.chart+xml"/>
  <Override PartName="/xl/charts/style4.xml" ContentType="application/vnd.ms-office.chartstyle+xml"/>
  <Override PartName="/xl/charts/colors4.xml" ContentType="application/vnd.ms-office.chartcolorstyle+xml"/>
  <Override PartName="/xl/charts/chart1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3.xml" ContentType="application/vnd.openxmlformats-officedocument.drawing+xml"/>
  <Override PartName="/xl/charts/chart18.xml" ContentType="application/vnd.openxmlformats-officedocument.drawingml.chart+xml"/>
  <Override PartName="/xl/theme/themeOverride12.xml" ContentType="application/vnd.openxmlformats-officedocument.themeOverride+xml"/>
  <Override PartName="/xl/charts/chart19.xml" ContentType="application/vnd.openxmlformats-officedocument.drawingml.chart+xml"/>
  <Override PartName="/xl/charts/style6.xml" ContentType="application/vnd.ms-office.chartstyle+xml"/>
  <Override PartName="/xl/charts/colors6.xml" ContentType="application/vnd.ms-office.chartcolorstyle+xml"/>
  <Override PartName="/xl/comments1.xml" ContentType="application/vnd.openxmlformats-officedocument.spreadsheetml.comments+xml"/>
  <Override PartName="/xl/drawings/drawing14.xml" ContentType="application/vnd.openxmlformats-officedocument.drawing+xml"/>
  <Override PartName="/xl/charts/chart20.xml" ContentType="application/vnd.openxmlformats-officedocument.drawingml.chart+xml"/>
  <Override PartName="/xl/drawings/drawing15.xml" ContentType="application/vnd.openxmlformats-officedocument.drawing+xml"/>
  <Override PartName="/xl/charts/chart21.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Desktop\"/>
    </mc:Choice>
  </mc:AlternateContent>
  <bookViews>
    <workbookView xWindow="0" yWindow="0" windowWidth="20490" windowHeight="9045" tabRatio="902" firstSheet="8" activeTab="21"/>
  </bookViews>
  <sheets>
    <sheet name="Cover_pg" sheetId="52" r:id="rId1"/>
    <sheet name="contents" sheetId="35" r:id="rId2"/>
    <sheet name="Abbreviation" sheetId="359" r:id="rId3"/>
    <sheet name="Sec-A" sheetId="53" r:id="rId4"/>
    <sheet name="1A" sheetId="96" r:id="rId5"/>
    <sheet name="1B" sheetId="320" r:id="rId6"/>
    <sheet name="2" sheetId="24" r:id="rId7"/>
    <sheet name="3" sheetId="113" r:id="rId8"/>
    <sheet name="4" sheetId="30" r:id="rId9"/>
    <sheet name="5" sheetId="317" r:id="rId10"/>
    <sheet name="6" sheetId="27" r:id="rId11"/>
    <sheet name="7" sheetId="26" r:id="rId12"/>
    <sheet name="8-9" sheetId="316" r:id="rId13"/>
    <sheet name="10" sheetId="33" r:id="rId14"/>
    <sheet name="11" sheetId="2" r:id="rId15"/>
    <sheet name="SecB" sheetId="54" r:id="rId16"/>
    <sheet name="12" sheetId="357" r:id="rId17"/>
    <sheet name="13" sheetId="3" r:id="rId18"/>
    <sheet name="14-19" sheetId="358" r:id="rId19"/>
    <sheet name="Sec-C" sheetId="55" r:id="rId20"/>
    <sheet name="20(1)" sheetId="329" r:id="rId21"/>
    <sheet name="20(2)" sheetId="364" r:id="rId22"/>
    <sheet name="Sec-D" sheetId="56" r:id="rId23"/>
    <sheet name="21(1)" sheetId="330" r:id="rId24"/>
    <sheet name="21(2)" sheetId="365" r:id="rId25"/>
    <sheet name="Sec-E" sheetId="57" r:id="rId26"/>
    <sheet name="22" sheetId="50" r:id="rId27"/>
    <sheet name="Sec-F" sheetId="58" r:id="rId28"/>
    <sheet name="23" sheetId="255" r:id="rId29"/>
    <sheet name="24" sheetId="256" r:id="rId30"/>
    <sheet name="25" sheetId="322" r:id="rId31"/>
    <sheet name="26" sheetId="259" r:id="rId32"/>
    <sheet name="27" sheetId="261" r:id="rId33"/>
    <sheet name="Sec-G" sheetId="311" r:id="rId34"/>
    <sheet name="28" sheetId="8" r:id="rId35"/>
    <sheet name="29" sheetId="309" r:id="rId36"/>
    <sheet name="30" sheetId="328" r:id="rId37"/>
    <sheet name="31" sheetId="60" r:id="rId38"/>
    <sheet name="Sec-H" sheetId="132" r:id="rId39"/>
    <sheet name="H1" sheetId="361" r:id="rId40"/>
    <sheet name="H2" sheetId="363" r:id="rId41"/>
    <sheet name="Data" sheetId="362" r:id="rId42"/>
    <sheet name="COM-P1" sheetId="332" r:id="rId43"/>
    <sheet name="COM-P2" sheetId="336" r:id="rId44"/>
    <sheet name="COM-P3" sheetId="356" r:id="rId45"/>
    <sheet name="PMO" sheetId="351" r:id="rId46"/>
    <sheet name="DO letter" sheetId="352" r:id="rId47"/>
  </sheets>
  <definedNames>
    <definedName name="BCLY">Cover_pg!$Q$4</definedName>
    <definedName name="BCTY">Cover_pg!$N$4</definedName>
    <definedName name="BLY">Cover_pg!$N$2</definedName>
    <definedName name="BTY">Cover_pg!$N$3</definedName>
    <definedName name="CLY">Cover_pg!$P$4</definedName>
    <definedName name="CMCY">Cover_pg!$D$35</definedName>
    <definedName name="CMLY">Cover_pg!$C$35</definedName>
    <definedName name="CTY">Cover_pg!$O$4</definedName>
    <definedName name="lfy">Cover_pg!$M$2</definedName>
    <definedName name="LM">Cover_pg!$C$35</definedName>
    <definedName name="LY">Cover_pg!$O$2</definedName>
    <definedName name="_xlnm.Print_Area" localSheetId="13">'10'!$B$2:$I$57</definedName>
    <definedName name="_xlnm.Print_Area" localSheetId="14">'11'!$A$1:$K$46</definedName>
    <definedName name="_xlnm.Print_Area" localSheetId="16">'12'!$B$2:$L$58</definedName>
    <definedName name="_xlnm.Print_Area" localSheetId="17">'13'!$A$1:$L$59</definedName>
    <definedName name="_xlnm.Print_Area" localSheetId="18">'14-19'!$B$2:$L$328</definedName>
    <definedName name="_xlnm.Print_Area" localSheetId="5">'1B'!$B$2:$L$29</definedName>
    <definedName name="_xlnm.Print_Area" localSheetId="6">'2'!$A$1:$H$57</definedName>
    <definedName name="_xlnm.Print_Area" localSheetId="26">'22'!$A$1:$L$59</definedName>
    <definedName name="_xlnm.Print_Area" localSheetId="28">'23'!$A$1:$K$55</definedName>
    <definedName name="_xlnm.Print_Area" localSheetId="29">'24'!$A$1:$K$54</definedName>
    <definedName name="_xlnm.Print_Area" localSheetId="30">'25'!$A$1:$K$54</definedName>
    <definedName name="_xlnm.Print_Area" localSheetId="31">'26'!$A$1:$K$55</definedName>
    <definedName name="_xlnm.Print_Area" localSheetId="32">'27'!$A$1:$D$35</definedName>
    <definedName name="_xlnm.Print_Area" localSheetId="34">'28'!$A$1:$K$28</definedName>
    <definedName name="_xlnm.Print_Area" localSheetId="35">'29'!$B$1:$W$33</definedName>
    <definedName name="_xlnm.Print_Area" localSheetId="7">'3'!$A$1:$N$46</definedName>
    <definedName name="_xlnm.Print_Area" localSheetId="36">'30'!$A$1:$AA$25</definedName>
    <definedName name="_xlnm.Print_Area" localSheetId="37">'31'!$A$1:$J$66</definedName>
    <definedName name="_xlnm.Print_Area" localSheetId="8">'4'!$A$1:$L$35</definedName>
    <definedName name="_xlnm.Print_Area" localSheetId="10">'6'!$A$1:$J$54</definedName>
    <definedName name="_xlnm.Print_Area" localSheetId="11">'7'!$A$1:$K$36</definedName>
    <definedName name="_xlnm.Print_Area" localSheetId="12">'8-9'!$B$2:$K$94</definedName>
    <definedName name="_xlnm.Print_Area" localSheetId="1">contents!$B$2:$G$48</definedName>
    <definedName name="_xlnm.Print_Area" localSheetId="0">Cover_pg!$B$1:$K$31</definedName>
    <definedName name="_xlnm.Print_Area" localSheetId="39">'H1'!$A$1:$L$557</definedName>
    <definedName name="_xlnm.Print_Area" localSheetId="40">'H2'!$A$2:$E$53</definedName>
    <definedName name="_xlnm.Print_Area" localSheetId="3">'Sec-A'!$B$1:$G$28</definedName>
    <definedName name="_xlnm.Print_Area" localSheetId="15">SecB!$A$1:$D$20</definedName>
    <definedName name="_xlnm.Print_Area" localSheetId="19">'Sec-C'!$A$1:$D$21</definedName>
    <definedName name="_xlnm.Print_Area" localSheetId="22">'Sec-D'!$A$1:$D$16</definedName>
    <definedName name="_xlnm.Print_Area" localSheetId="25">'Sec-E'!$A$1:$D$9</definedName>
    <definedName name="_xlnm.Print_Area" localSheetId="27">'Sec-F'!$A$1:$F$26</definedName>
    <definedName name="_xlnm.Print_Area" localSheetId="33">'Sec-G'!$A$1:$F$20</definedName>
    <definedName name="_xlnm.Print_Area" localSheetId="38">'Sec-H'!$A$1:$E$9</definedName>
    <definedName name="_xlnm.Print_Titles" localSheetId="39">'H1'!$2:$2</definedName>
    <definedName name="tfy">Cover_pg!$M$3</definedName>
    <definedName name="TM">Cover_pg!$C$35</definedName>
    <definedName name="TY">Cover_pg!$O$3</definedName>
  </definedNames>
  <calcPr calcId="152511"/>
</workbook>
</file>

<file path=xl/calcChain.xml><?xml version="1.0" encoding="utf-8"?>
<calcChain xmlns="http://schemas.openxmlformats.org/spreadsheetml/2006/main">
  <c r="M17" i="330" l="1"/>
  <c r="N17" i="330" s="1"/>
  <c r="F31" i="27" s="1"/>
  <c r="L17" i="330"/>
  <c r="K17" i="330"/>
  <c r="M16" i="330"/>
  <c r="L16" i="330"/>
  <c r="N16" i="330" s="1"/>
  <c r="K16" i="330"/>
  <c r="M15" i="330"/>
  <c r="N15" i="330" s="1"/>
  <c r="F6" i="27" s="1"/>
  <c r="L15" i="330"/>
  <c r="K15" i="330"/>
  <c r="M14" i="330"/>
  <c r="L14" i="330"/>
  <c r="N14" i="330" s="1"/>
  <c r="K14" i="330"/>
  <c r="M13" i="330"/>
  <c r="N13" i="330" s="1"/>
  <c r="L13" i="330"/>
  <c r="K13" i="330"/>
  <c r="C28" i="96" l="1"/>
  <c r="D37" i="35" l="1"/>
  <c r="D34" i="35"/>
  <c r="D33" i="35"/>
  <c r="C7" i="58"/>
  <c r="C6" i="58"/>
  <c r="X13" i="330" l="1"/>
  <c r="Y13" i="330"/>
  <c r="X14" i="330"/>
  <c r="Y14" i="330"/>
  <c r="X15" i="330"/>
  <c r="Y15" i="330"/>
  <c r="X16" i="330"/>
  <c r="Y16" i="330"/>
  <c r="X17" i="330"/>
  <c r="Y17" i="330"/>
  <c r="W14" i="330"/>
  <c r="W15" i="330"/>
  <c r="W16" i="330"/>
  <c r="W17" i="330"/>
  <c r="W13" i="330"/>
  <c r="T13" i="330"/>
  <c r="U13" i="330"/>
  <c r="T14" i="330"/>
  <c r="U14" i="330"/>
  <c r="T15" i="330"/>
  <c r="U15" i="330"/>
  <c r="T16" i="330"/>
  <c r="U16" i="330"/>
  <c r="T17" i="330"/>
  <c r="U17" i="330"/>
  <c r="S14" i="330"/>
  <c r="S15" i="330"/>
  <c r="S16" i="330"/>
  <c r="S17" i="330"/>
  <c r="S13" i="330"/>
  <c r="V13" i="330" s="1"/>
  <c r="Q14" i="330"/>
  <c r="Q15" i="330"/>
  <c r="Q16" i="330"/>
  <c r="Q17" i="330"/>
  <c r="P14" i="330"/>
  <c r="P15" i="330"/>
  <c r="P16" i="330"/>
  <c r="P17" i="330"/>
  <c r="P13" i="330"/>
  <c r="Q13" i="330"/>
  <c r="O14" i="330"/>
  <c r="O15" i="330"/>
  <c r="O16" i="330"/>
  <c r="O17" i="330"/>
  <c r="O13" i="330"/>
  <c r="V17" i="330" l="1"/>
  <c r="V15" i="330"/>
  <c r="V16" i="330"/>
  <c r="V14" i="330"/>
  <c r="F21" i="26"/>
  <c r="D21" i="26"/>
  <c r="D20" i="26"/>
  <c r="D19" i="26"/>
  <c r="D18" i="26"/>
  <c r="D17" i="26"/>
  <c r="D16" i="26"/>
  <c r="F20" i="26"/>
  <c r="F19" i="26"/>
  <c r="F18" i="26"/>
  <c r="F17" i="26"/>
  <c r="F16" i="26"/>
  <c r="F10" i="26"/>
  <c r="F9" i="26"/>
  <c r="F8" i="26"/>
  <c r="F7" i="26"/>
  <c r="F6" i="26"/>
  <c r="D10" i="26"/>
  <c r="D9" i="26"/>
  <c r="D8" i="26"/>
  <c r="D7" i="26"/>
  <c r="D6" i="26"/>
  <c r="B11" i="113" l="1"/>
  <c r="G49" i="363"/>
  <c r="D49" i="363" s="1"/>
  <c r="G48" i="363"/>
  <c r="D48" i="363" s="1"/>
  <c r="G46" i="363"/>
  <c r="D46" i="363" s="1"/>
  <c r="G43" i="363"/>
  <c r="D43" i="363" s="1"/>
  <c r="G36" i="363"/>
  <c r="D36" i="363" s="1"/>
  <c r="G23" i="363"/>
  <c r="D23" i="363" s="1"/>
  <c r="G22" i="363"/>
  <c r="D22" i="363" s="1"/>
  <c r="G52" i="363"/>
  <c r="D52" i="363" s="1"/>
  <c r="G51" i="363"/>
  <c r="D51" i="363" s="1"/>
  <c r="G50" i="363"/>
  <c r="D50" i="363" s="1"/>
  <c r="G47" i="363"/>
  <c r="D47" i="363" s="1"/>
  <c r="G45" i="363"/>
  <c r="D45" i="363" s="1"/>
  <c r="G44" i="363"/>
  <c r="D44" i="363" s="1"/>
  <c r="G42" i="363"/>
  <c r="D42" i="363" s="1"/>
  <c r="G41" i="363"/>
  <c r="D41" i="363" s="1"/>
  <c r="G40" i="363"/>
  <c r="D40" i="363" s="1"/>
  <c r="G39" i="363"/>
  <c r="D39" i="363" s="1"/>
  <c r="G38" i="363"/>
  <c r="D38" i="363" s="1"/>
  <c r="G37" i="363"/>
  <c r="D37" i="363" s="1"/>
  <c r="G35" i="363"/>
  <c r="D35" i="363" s="1"/>
  <c r="G34" i="363"/>
  <c r="D34" i="363" s="1"/>
  <c r="G33" i="363"/>
  <c r="D33" i="363" s="1"/>
  <c r="G32" i="363"/>
  <c r="D32" i="363" s="1"/>
  <c r="G31" i="363"/>
  <c r="D31" i="363" s="1"/>
  <c r="G30" i="363"/>
  <c r="D30" i="363" s="1"/>
  <c r="G29" i="363"/>
  <c r="D29" i="363" s="1"/>
  <c r="G28" i="363"/>
  <c r="D28" i="363" s="1"/>
  <c r="G27" i="363"/>
  <c r="D27" i="363" s="1"/>
  <c r="G26" i="363"/>
  <c r="D26" i="363" s="1"/>
  <c r="G25" i="363"/>
  <c r="D25" i="363" s="1"/>
  <c r="G24" i="363"/>
  <c r="D24" i="363" s="1"/>
  <c r="G21" i="363"/>
  <c r="D21" i="363" s="1"/>
  <c r="G20" i="363"/>
  <c r="D20" i="363" s="1"/>
  <c r="G19" i="363"/>
  <c r="D19" i="363" s="1"/>
  <c r="G18" i="363"/>
  <c r="D18" i="363" s="1"/>
  <c r="G17" i="363"/>
  <c r="D17" i="363" s="1"/>
  <c r="G16" i="363"/>
  <c r="D16" i="363" s="1"/>
  <c r="G15" i="363"/>
  <c r="D15" i="363" s="1"/>
  <c r="G14" i="363"/>
  <c r="D14" i="363" s="1"/>
  <c r="G13" i="363"/>
  <c r="D13" i="363" s="1"/>
  <c r="G12" i="363"/>
  <c r="D12" i="363" s="1"/>
  <c r="G11" i="363"/>
  <c r="D11" i="363" s="1"/>
  <c r="G10" i="363"/>
  <c r="D10" i="363" s="1"/>
  <c r="G9" i="363"/>
  <c r="D9" i="363" s="1"/>
  <c r="G8" i="363"/>
  <c r="D8" i="363" s="1"/>
  <c r="G7" i="363"/>
  <c r="D7" i="363" s="1"/>
  <c r="G6" i="363"/>
  <c r="D6" i="363" s="1"/>
  <c r="G5" i="363"/>
  <c r="D5" i="363" s="1"/>
  <c r="G53" i="363" l="1"/>
  <c r="C23" i="328"/>
  <c r="C24" i="328"/>
  <c r="B2" i="328"/>
  <c r="Z17" i="328"/>
  <c r="Y17" i="328"/>
  <c r="X17" i="328"/>
  <c r="W17" i="328"/>
  <c r="V17" i="328"/>
  <c r="U17" i="328"/>
  <c r="T17" i="328"/>
  <c r="S17" i="328"/>
  <c r="R17" i="328"/>
  <c r="Q17" i="328"/>
  <c r="P17" i="328"/>
  <c r="O17" i="328"/>
  <c r="N17" i="328"/>
  <c r="M17" i="328"/>
  <c r="L17" i="328"/>
  <c r="K17" i="328"/>
  <c r="J17" i="328"/>
  <c r="I17" i="328"/>
  <c r="H17" i="328"/>
  <c r="G17" i="328"/>
  <c r="F17" i="328"/>
  <c r="E17" i="328"/>
  <c r="D17" i="328"/>
  <c r="C17" i="328"/>
  <c r="C10" i="58" l="1"/>
  <c r="N3" i="52" l="1"/>
  <c r="B2" i="363" s="1"/>
  <c r="N2" i="52"/>
  <c r="G21" i="26" l="1"/>
  <c r="E21" i="26"/>
  <c r="G10" i="26"/>
  <c r="G9" i="26"/>
  <c r="G8" i="26"/>
  <c r="G7" i="26"/>
  <c r="G6" i="26"/>
  <c r="E10" i="26"/>
  <c r="E9" i="26"/>
  <c r="E8" i="26"/>
  <c r="E7" i="26"/>
  <c r="E6" i="26"/>
  <c r="A14" i="330" l="1"/>
  <c r="A16" i="330" s="1"/>
  <c r="A9" i="329"/>
  <c r="U12" i="329" l="1"/>
  <c r="T12" i="329"/>
  <c r="S12" i="329"/>
  <c r="U11" i="329"/>
  <c r="T11" i="329"/>
  <c r="S11" i="329"/>
  <c r="U10" i="329"/>
  <c r="T10" i="329"/>
  <c r="S10" i="329"/>
  <c r="U9" i="329"/>
  <c r="T9" i="329"/>
  <c r="S9" i="329"/>
  <c r="U8" i="329"/>
  <c r="T8" i="329"/>
  <c r="S8" i="329"/>
  <c r="Q12" i="329"/>
  <c r="P12" i="329"/>
  <c r="O12" i="329"/>
  <c r="Q11" i="329"/>
  <c r="P11" i="329"/>
  <c r="O11" i="329"/>
  <c r="Q10" i="329"/>
  <c r="P10" i="329"/>
  <c r="O10" i="329"/>
  <c r="Q9" i="329"/>
  <c r="P9" i="329"/>
  <c r="O9" i="329"/>
  <c r="Q8" i="329"/>
  <c r="P8" i="329"/>
  <c r="O8" i="329"/>
  <c r="M12" i="329"/>
  <c r="L12" i="329"/>
  <c r="K12" i="329"/>
  <c r="M11" i="329"/>
  <c r="L11" i="329"/>
  <c r="K11" i="329"/>
  <c r="M10" i="329"/>
  <c r="L10" i="329"/>
  <c r="K10" i="329"/>
  <c r="M9" i="329"/>
  <c r="L9" i="329"/>
  <c r="K9" i="329"/>
  <c r="M8" i="329"/>
  <c r="L8" i="329"/>
  <c r="K8" i="329"/>
  <c r="BI295" i="362" l="1"/>
  <c r="BI294" i="362"/>
  <c r="BI293" i="362"/>
  <c r="BI292" i="362"/>
  <c r="BI291" i="362"/>
  <c r="BI290" i="362"/>
  <c r="BI288" i="362"/>
  <c r="BI287" i="362"/>
  <c r="BI286" i="362"/>
  <c r="BI285" i="362"/>
  <c r="BI284" i="362"/>
  <c r="BI289" i="362"/>
  <c r="BI296" i="362" l="1"/>
  <c r="F8" i="24"/>
  <c r="F7" i="24"/>
  <c r="F6" i="24"/>
  <c r="BR284" i="362"/>
  <c r="BS284" i="362" s="1"/>
  <c r="BD9" i="362" l="1"/>
  <c r="BD5" i="362"/>
  <c r="F10" i="50" l="1"/>
  <c r="F9" i="50"/>
  <c r="F8" i="50"/>
  <c r="I14" i="3"/>
  <c r="I12" i="3"/>
  <c r="I11" i="3"/>
  <c r="I10" i="3"/>
  <c r="I8" i="3"/>
  <c r="I7" i="3"/>
  <c r="I6" i="3"/>
  <c r="H6" i="3"/>
  <c r="BH299" i="362"/>
  <c r="G14" i="3"/>
  <c r="G12" i="3"/>
  <c r="G11" i="3"/>
  <c r="G10" i="3"/>
  <c r="G8" i="3"/>
  <c r="G7" i="3"/>
  <c r="G6" i="3"/>
  <c r="K47" i="357"/>
  <c r="J47" i="357"/>
  <c r="K46" i="357"/>
  <c r="J46" i="357"/>
  <c r="K45" i="357"/>
  <c r="J45" i="357"/>
  <c r="I48" i="357"/>
  <c r="H48" i="357"/>
  <c r="G48" i="357"/>
  <c r="F48" i="357"/>
  <c r="J48" i="357" s="1"/>
  <c r="E48" i="357"/>
  <c r="D48" i="357"/>
  <c r="G17" i="3" l="1"/>
  <c r="G16" i="3"/>
  <c r="G13" i="3"/>
  <c r="G9" i="3"/>
  <c r="G15" i="3"/>
  <c r="K48" i="357"/>
  <c r="BR295" i="362"/>
  <c r="BR294" i="362"/>
  <c r="BR293" i="362"/>
  <c r="BR292" i="362"/>
  <c r="BR291" i="362"/>
  <c r="BR290" i="362"/>
  <c r="BR289" i="362"/>
  <c r="BR288" i="362"/>
  <c r="BR287" i="362"/>
  <c r="BR286" i="362"/>
  <c r="BR285" i="362"/>
  <c r="BQ296" i="362"/>
  <c r="I54" i="357" s="1"/>
  <c r="I57" i="357" s="1"/>
  <c r="BP296" i="362"/>
  <c r="G56" i="357" s="1"/>
  <c r="BO296" i="362"/>
  <c r="G55" i="357" s="1"/>
  <c r="BN296" i="362"/>
  <c r="G54" i="357" s="1"/>
  <c r="BM296" i="362"/>
  <c r="E56" i="357" s="1"/>
  <c r="BL296" i="362"/>
  <c r="E55" i="357" s="1"/>
  <c r="E5" i="24"/>
  <c r="BH295" i="362"/>
  <c r="BG295" i="362"/>
  <c r="BF295" i="362"/>
  <c r="BE295" i="362"/>
  <c r="BD295" i="362"/>
  <c r="BC295" i="362"/>
  <c r="BH294" i="362"/>
  <c r="BG294" i="362"/>
  <c r="BF294" i="362"/>
  <c r="BE294" i="362"/>
  <c r="BD294" i="362"/>
  <c r="BC294" i="362"/>
  <c r="BH293" i="362"/>
  <c r="BG293" i="362"/>
  <c r="BF293" i="362"/>
  <c r="BE293" i="362"/>
  <c r="BD293" i="362"/>
  <c r="BC293" i="362"/>
  <c r="BH292" i="362"/>
  <c r="BG292" i="362"/>
  <c r="BF292" i="362"/>
  <c r="BE292" i="362"/>
  <c r="BD292" i="362"/>
  <c r="BC292" i="362"/>
  <c r="BH291" i="362"/>
  <c r="BG291" i="362"/>
  <c r="BF291" i="362"/>
  <c r="BE291" i="362"/>
  <c r="BD291" i="362"/>
  <c r="BC291" i="362"/>
  <c r="BH290" i="362"/>
  <c r="BG290" i="362"/>
  <c r="BF290" i="362"/>
  <c r="BE290" i="362"/>
  <c r="BD290" i="362"/>
  <c r="BC290" i="362"/>
  <c r="BH289" i="362"/>
  <c r="BG289" i="362"/>
  <c r="BF289" i="362"/>
  <c r="BE289" i="362"/>
  <c r="BD289" i="362"/>
  <c r="BC289" i="362"/>
  <c r="BH288" i="362"/>
  <c r="BG288" i="362"/>
  <c r="BF288" i="362"/>
  <c r="BE288" i="362"/>
  <c r="BD288" i="362"/>
  <c r="BC288" i="362"/>
  <c r="BH287" i="362"/>
  <c r="BG287" i="362"/>
  <c r="BF287" i="362"/>
  <c r="BE287" i="362"/>
  <c r="BD287" i="362"/>
  <c r="BC287" i="362"/>
  <c r="BH286" i="362"/>
  <c r="BG286" i="362"/>
  <c r="BF286" i="362"/>
  <c r="BE286" i="362"/>
  <c r="BD286" i="362"/>
  <c r="BC286" i="362"/>
  <c r="BH285" i="362"/>
  <c r="BG285" i="362"/>
  <c r="BF285" i="362"/>
  <c r="BE285" i="362"/>
  <c r="BD285" i="362"/>
  <c r="BC285" i="362"/>
  <c r="BH284" i="362"/>
  <c r="BG284" i="362"/>
  <c r="BF284" i="362"/>
  <c r="BE284" i="362"/>
  <c r="BD284" i="362"/>
  <c r="BC284" i="362"/>
  <c r="K55" i="357" l="1"/>
  <c r="E32" i="24"/>
  <c r="K56" i="357"/>
  <c r="G57" i="357"/>
  <c r="E31" i="24"/>
  <c r="F10" i="3"/>
  <c r="H10" i="3"/>
  <c r="H11" i="3"/>
  <c r="F11" i="3"/>
  <c r="F12" i="3"/>
  <c r="H12" i="3"/>
  <c r="E7" i="24"/>
  <c r="H14" i="3"/>
  <c r="F14" i="3"/>
  <c r="E8" i="24"/>
  <c r="H7" i="3"/>
  <c r="F7" i="3"/>
  <c r="F8" i="3"/>
  <c r="H8" i="3"/>
  <c r="G18" i="3"/>
  <c r="F6" i="3"/>
  <c r="E6" i="24"/>
  <c r="BS285" i="362"/>
  <c r="BS286" i="362" s="1"/>
  <c r="BS287" i="362" s="1"/>
  <c r="BS288" i="362" s="1"/>
  <c r="BS289" i="362" s="1"/>
  <c r="BS290" i="362" s="1"/>
  <c r="BS291" i="362" s="1"/>
  <c r="BS292" i="362" s="1"/>
  <c r="BS293" i="362" s="1"/>
  <c r="BS294" i="362" s="1"/>
  <c r="BS295" i="362" s="1"/>
  <c r="BS296" i="362" s="1"/>
  <c r="BR296" i="362"/>
  <c r="BK296" i="362"/>
  <c r="BE296" i="362"/>
  <c r="D56" i="357" s="1"/>
  <c r="BJ290" i="362"/>
  <c r="BJ288" i="362"/>
  <c r="BG296" i="362"/>
  <c r="F55" i="357" s="1"/>
  <c r="E11" i="3" s="1"/>
  <c r="BH296" i="362"/>
  <c r="F56" i="357" s="1"/>
  <c r="E12" i="3" s="1"/>
  <c r="BJ287" i="362"/>
  <c r="BJ295" i="362"/>
  <c r="BJ286" i="362"/>
  <c r="BJ294" i="362"/>
  <c r="BJ285" i="362"/>
  <c r="BJ293" i="362"/>
  <c r="BJ284" i="362"/>
  <c r="BJ292" i="362"/>
  <c r="BD296" i="362"/>
  <c r="D55" i="357" s="1"/>
  <c r="BJ291" i="362"/>
  <c r="BF296" i="362"/>
  <c r="F54" i="357" s="1"/>
  <c r="BJ289" i="362"/>
  <c r="BC296" i="362"/>
  <c r="D54" i="357" s="1"/>
  <c r="BI299" i="362" l="1"/>
  <c r="E6" i="3"/>
  <c r="D57" i="357"/>
  <c r="E10" i="3"/>
  <c r="F57" i="357"/>
  <c r="J56" i="357"/>
  <c r="E8" i="3"/>
  <c r="J55" i="357"/>
  <c r="E7" i="3"/>
  <c r="E30" i="24"/>
  <c r="E54" i="357"/>
  <c r="H54" i="357"/>
  <c r="BJ296" i="362"/>
  <c r="E57" i="357" l="1"/>
  <c r="K57" i="357" s="1"/>
  <c r="K54" i="357"/>
  <c r="H57" i="357"/>
  <c r="J57" i="357" s="1"/>
  <c r="E14" i="3"/>
  <c r="J54" i="357"/>
  <c r="Z16" i="328"/>
  <c r="Y16" i="328"/>
  <c r="X16" i="328"/>
  <c r="W16" i="328"/>
  <c r="V16" i="328"/>
  <c r="U16" i="328"/>
  <c r="T16" i="328"/>
  <c r="S16" i="328"/>
  <c r="R16" i="328"/>
  <c r="N16" i="328"/>
  <c r="J16" i="328"/>
  <c r="F16" i="328"/>
  <c r="Q16" i="328"/>
  <c r="P16" i="328"/>
  <c r="O16" i="328"/>
  <c r="M16" i="328"/>
  <c r="L16" i="328"/>
  <c r="K16" i="328"/>
  <c r="I16" i="328"/>
  <c r="H16" i="328"/>
  <c r="G16" i="328"/>
  <c r="E16" i="328"/>
  <c r="D16" i="328"/>
  <c r="C16" i="328"/>
  <c r="F24" i="328"/>
  <c r="F23" i="328"/>
  <c r="I21" i="50"/>
  <c r="H21" i="50"/>
  <c r="I19" i="50"/>
  <c r="H19" i="50"/>
  <c r="F21" i="50"/>
  <c r="E21" i="50"/>
  <c r="F19" i="50"/>
  <c r="E19" i="50"/>
  <c r="D21" i="50"/>
  <c r="D19" i="50"/>
  <c r="I16" i="50"/>
  <c r="I15" i="50"/>
  <c r="I14" i="50"/>
  <c r="I13" i="50"/>
  <c r="H16" i="50"/>
  <c r="H15" i="50"/>
  <c r="H14" i="50"/>
  <c r="H13" i="50"/>
  <c r="F16" i="50"/>
  <c r="F15" i="50"/>
  <c r="F14" i="50"/>
  <c r="F13" i="50"/>
  <c r="E16" i="50"/>
  <c r="E15" i="50"/>
  <c r="E14" i="50"/>
  <c r="E13" i="50"/>
  <c r="D16" i="50"/>
  <c r="D15" i="50"/>
  <c r="D14" i="50"/>
  <c r="D13" i="50"/>
  <c r="I10" i="50"/>
  <c r="I9" i="50"/>
  <c r="I8" i="50"/>
  <c r="I7" i="50"/>
  <c r="H8" i="50"/>
  <c r="H9" i="50"/>
  <c r="H10" i="50"/>
  <c r="E10" i="50"/>
  <c r="E9" i="50"/>
  <c r="E8" i="50"/>
  <c r="E7" i="50"/>
  <c r="D10" i="50"/>
  <c r="D9" i="50"/>
  <c r="D8" i="50"/>
  <c r="H7" i="50"/>
  <c r="F7" i="50"/>
  <c r="D7" i="50"/>
  <c r="I17" i="330"/>
  <c r="H17" i="330"/>
  <c r="G17" i="330"/>
  <c r="I16" i="330"/>
  <c r="H16" i="330"/>
  <c r="G16" i="330"/>
  <c r="I15" i="330"/>
  <c r="H15" i="330"/>
  <c r="G15" i="330"/>
  <c r="I14" i="330"/>
  <c r="H14" i="330"/>
  <c r="G14" i="330"/>
  <c r="I13" i="330"/>
  <c r="H13" i="330"/>
  <c r="G13" i="330"/>
  <c r="E17" i="330"/>
  <c r="D17" i="330"/>
  <c r="AB17" i="330" s="1"/>
  <c r="C17" i="330"/>
  <c r="AA17" i="330" s="1"/>
  <c r="E16" i="330"/>
  <c r="D16" i="330"/>
  <c r="AB16" i="330" s="1"/>
  <c r="C16" i="330"/>
  <c r="AA16" i="330" s="1"/>
  <c r="E15" i="330"/>
  <c r="AC15" i="330" s="1"/>
  <c r="D15" i="330"/>
  <c r="AB15" i="330" s="1"/>
  <c r="C15" i="330"/>
  <c r="E14" i="330"/>
  <c r="AC14" i="330" s="1"/>
  <c r="D14" i="330"/>
  <c r="AB14" i="330" s="1"/>
  <c r="C14" i="330"/>
  <c r="E13" i="330"/>
  <c r="AC13" i="330" s="1"/>
  <c r="D13" i="330"/>
  <c r="AB13" i="330" s="1"/>
  <c r="C13" i="330"/>
  <c r="AA13" i="330" s="1"/>
  <c r="I12" i="329"/>
  <c r="H12" i="329"/>
  <c r="I11" i="329"/>
  <c r="H11" i="329"/>
  <c r="I10" i="329"/>
  <c r="H10" i="329"/>
  <c r="I9" i="329"/>
  <c r="H9" i="329"/>
  <c r="G12" i="329"/>
  <c r="G11" i="329"/>
  <c r="G10" i="329"/>
  <c r="G9" i="329"/>
  <c r="I8" i="329"/>
  <c r="H8" i="329"/>
  <c r="G8" i="329"/>
  <c r="E12" i="329"/>
  <c r="Y12" i="329" s="1"/>
  <c r="D12" i="329"/>
  <c r="C12" i="329"/>
  <c r="W12" i="329" s="1"/>
  <c r="E11" i="329"/>
  <c r="Y11" i="329" s="1"/>
  <c r="D11" i="329"/>
  <c r="X11" i="329" s="1"/>
  <c r="C11" i="329"/>
  <c r="E10" i="329"/>
  <c r="Y10" i="329" s="1"/>
  <c r="D10" i="329"/>
  <c r="X10" i="329" s="1"/>
  <c r="C10" i="329"/>
  <c r="E9" i="329"/>
  <c r="D9" i="329"/>
  <c r="X9" i="329" s="1"/>
  <c r="C9" i="329"/>
  <c r="W9" i="329" s="1"/>
  <c r="E8" i="329"/>
  <c r="Y8" i="329" s="1"/>
  <c r="D8" i="329"/>
  <c r="C8" i="329"/>
  <c r="E10" i="33"/>
  <c r="E9" i="33"/>
  <c r="E8" i="33"/>
  <c r="E7" i="33"/>
  <c r="E6" i="33"/>
  <c r="D10" i="33"/>
  <c r="D9" i="33"/>
  <c r="D8" i="33"/>
  <c r="D7" i="33"/>
  <c r="D6" i="33"/>
  <c r="F32" i="24"/>
  <c r="F31" i="24"/>
  <c r="F30" i="24"/>
  <c r="G8" i="24"/>
  <c r="G7" i="24"/>
  <c r="G6" i="24"/>
  <c r="E20" i="320"/>
  <c r="F20" i="320"/>
  <c r="G20" i="320"/>
  <c r="H20" i="320"/>
  <c r="E21" i="320"/>
  <c r="F21" i="320"/>
  <c r="G21" i="320"/>
  <c r="H21" i="320"/>
  <c r="E22" i="320"/>
  <c r="F22" i="320"/>
  <c r="G22" i="320"/>
  <c r="H22" i="320"/>
  <c r="E23" i="320"/>
  <c r="F23" i="320"/>
  <c r="G23" i="320"/>
  <c r="H23" i="320"/>
  <c r="E24" i="320"/>
  <c r="F24" i="320"/>
  <c r="G24" i="320"/>
  <c r="H24" i="320"/>
  <c r="H19" i="320"/>
  <c r="G19" i="320"/>
  <c r="F19" i="320"/>
  <c r="E19" i="320"/>
  <c r="G7" i="320"/>
  <c r="D7" i="320"/>
  <c r="E29" i="96"/>
  <c r="E30" i="96"/>
  <c r="E31" i="96"/>
  <c r="E28" i="96"/>
  <c r="C29" i="96"/>
  <c r="C30" i="96"/>
  <c r="C31" i="96"/>
  <c r="G6" i="96"/>
  <c r="G7" i="96"/>
  <c r="G8" i="96"/>
  <c r="E6" i="96"/>
  <c r="E7" i="96"/>
  <c r="E8" i="96"/>
  <c r="G5" i="96"/>
  <c r="E5" i="96"/>
  <c r="C6" i="96"/>
  <c r="C7" i="96"/>
  <c r="C8" i="96"/>
  <c r="C5" i="96"/>
  <c r="AA15" i="330" l="1"/>
  <c r="AD15" i="330" s="1"/>
  <c r="AC17" i="330"/>
  <c r="Y9" i="329"/>
  <c r="W8" i="329"/>
  <c r="X8" i="329"/>
  <c r="Z8" i="329" s="1"/>
  <c r="AA14" i="330"/>
  <c r="AC16" i="330"/>
  <c r="X12" i="329"/>
  <c r="Z12" i="329" s="1"/>
  <c r="W10" i="329"/>
  <c r="W11" i="329"/>
  <c r="H5" i="96"/>
  <c r="A11" i="329" l="1"/>
  <c r="H20" i="50"/>
  <c r="F20" i="50"/>
  <c r="E20" i="50"/>
  <c r="I20" i="50"/>
  <c r="Z17" i="330"/>
  <c r="R17" i="330"/>
  <c r="Z16" i="330"/>
  <c r="R16" i="330"/>
  <c r="Z15" i="330"/>
  <c r="R15" i="330"/>
  <c r="Z14" i="330"/>
  <c r="R14" i="330"/>
  <c r="Z13" i="330"/>
  <c r="R13" i="330"/>
  <c r="J17" i="330"/>
  <c r="F17" i="330"/>
  <c r="J16" i="330"/>
  <c r="F16" i="330"/>
  <c r="J15" i="330"/>
  <c r="F15" i="330"/>
  <c r="F4" i="27" s="1"/>
  <c r="J14" i="330"/>
  <c r="F14" i="330"/>
  <c r="J13" i="330"/>
  <c r="F13" i="330"/>
  <c r="AD16" i="330" l="1"/>
  <c r="AD14" i="330"/>
  <c r="AD17" i="330"/>
  <c r="AD13" i="330"/>
  <c r="V12" i="329"/>
  <c r="R12" i="329"/>
  <c r="N12" i="329"/>
  <c r="V11" i="329"/>
  <c r="R11" i="329"/>
  <c r="N11" i="329"/>
  <c r="V10" i="329"/>
  <c r="R10" i="329"/>
  <c r="N10" i="329"/>
  <c r="V9" i="329"/>
  <c r="R9" i="329"/>
  <c r="N9" i="329"/>
  <c r="V8" i="329"/>
  <c r="R8" i="329"/>
  <c r="N8" i="329"/>
  <c r="J12" i="329"/>
  <c r="F12" i="329"/>
  <c r="J11" i="329"/>
  <c r="F11" i="329"/>
  <c r="J10" i="329"/>
  <c r="F10" i="329"/>
  <c r="J9" i="329"/>
  <c r="F9" i="329"/>
  <c r="J8" i="329"/>
  <c r="F8" i="329"/>
  <c r="Z11" i="329" l="1"/>
  <c r="Z10" i="329"/>
  <c r="Z9" i="329"/>
  <c r="F36" i="2" l="1"/>
  <c r="F35" i="2"/>
  <c r="F34" i="2"/>
  <c r="F33" i="2"/>
  <c r="F32" i="2"/>
  <c r="F31" i="2"/>
  <c r="D9" i="317" l="1"/>
  <c r="G13" i="320" l="1"/>
  <c r="D13" i="320"/>
  <c r="J13" i="320" l="1"/>
  <c r="H55" i="50" l="1"/>
  <c r="G55" i="50"/>
  <c r="F55" i="50"/>
  <c r="E55" i="50"/>
  <c r="F28" i="317" l="1"/>
  <c r="F29" i="317"/>
  <c r="F18" i="320" l="1"/>
  <c r="E18" i="320"/>
  <c r="D11" i="26" l="1"/>
  <c r="N4" i="52" l="1"/>
  <c r="G18" i="320" l="1"/>
  <c r="D36" i="35"/>
  <c r="D35" i="35"/>
  <c r="J37" i="357"/>
  <c r="J38" i="357"/>
  <c r="J36" i="357"/>
  <c r="H39" i="357"/>
  <c r="F39" i="357"/>
  <c r="D39" i="357"/>
  <c r="K37" i="357"/>
  <c r="K38" i="357"/>
  <c r="K36" i="357"/>
  <c r="I39" i="357"/>
  <c r="G39" i="357"/>
  <c r="E39" i="357"/>
  <c r="K39" i="357" s="1"/>
  <c r="J39" i="357" l="1"/>
  <c r="C32" i="96"/>
  <c r="K12" i="309" l="1"/>
  <c r="AB42" i="309" s="1"/>
  <c r="F34" i="27" l="1"/>
  <c r="F33" i="27"/>
  <c r="F32" i="27"/>
  <c r="F30" i="27"/>
  <c r="F29" i="27"/>
  <c r="G25" i="320" l="1"/>
  <c r="N22" i="320" s="1"/>
  <c r="H25" i="320"/>
  <c r="G56" i="50" l="1"/>
  <c r="G16" i="26" l="1"/>
  <c r="G17" i="26"/>
  <c r="G18" i="26"/>
  <c r="G19" i="26"/>
  <c r="G20" i="26"/>
  <c r="J7" i="3" l="1"/>
  <c r="J8" i="3"/>
  <c r="J10" i="3"/>
  <c r="J11" i="3"/>
  <c r="J12" i="3"/>
  <c r="J14" i="3"/>
  <c r="J6" i="3"/>
  <c r="H16" i="3" l="1"/>
  <c r="H9" i="3"/>
  <c r="I9" i="3"/>
  <c r="H13" i="3"/>
  <c r="I13" i="3"/>
  <c r="H15" i="3"/>
  <c r="I15" i="3"/>
  <c r="I16" i="3"/>
  <c r="H17" i="3"/>
  <c r="I17" i="3"/>
  <c r="J17" i="3" l="1"/>
  <c r="J15" i="3"/>
  <c r="J13" i="3"/>
  <c r="J9" i="3"/>
  <c r="J16" i="3"/>
  <c r="I18" i="3"/>
  <c r="H18" i="3"/>
  <c r="J18" i="3" l="1"/>
  <c r="F12" i="309"/>
  <c r="G12" i="309"/>
  <c r="H12" i="309"/>
  <c r="I12" i="309"/>
  <c r="J12" i="309"/>
  <c r="L12" i="309"/>
  <c r="M12" i="309"/>
  <c r="N12" i="309"/>
  <c r="O12" i="309"/>
  <c r="P12" i="309"/>
  <c r="Q12" i="309"/>
  <c r="R12" i="309"/>
  <c r="S12" i="309"/>
  <c r="T12" i="309"/>
  <c r="U12" i="309"/>
  <c r="E12" i="309"/>
  <c r="D12" i="309"/>
  <c r="C6" i="30" l="1"/>
  <c r="D6" i="30"/>
  <c r="E6" i="30"/>
  <c r="F6" i="30"/>
  <c r="G6" i="30"/>
  <c r="H6" i="30"/>
  <c r="I6" i="30"/>
  <c r="J6" i="30"/>
  <c r="K6" i="30"/>
  <c r="C7" i="30"/>
  <c r="D7" i="30"/>
  <c r="E7" i="30"/>
  <c r="F7" i="30"/>
  <c r="G7" i="30"/>
  <c r="H7" i="30"/>
  <c r="I7" i="30"/>
  <c r="J7" i="30"/>
  <c r="K7" i="30"/>
  <c r="C8" i="30"/>
  <c r="D8" i="30"/>
  <c r="E8" i="30"/>
  <c r="F8" i="30"/>
  <c r="G8" i="30"/>
  <c r="H8" i="30"/>
  <c r="I8" i="30"/>
  <c r="J8" i="30"/>
  <c r="K8" i="30"/>
  <c r="D5" i="30"/>
  <c r="E5" i="30"/>
  <c r="F5" i="30"/>
  <c r="G5" i="30"/>
  <c r="H5" i="30"/>
  <c r="I5" i="30"/>
  <c r="J5" i="30"/>
  <c r="K5" i="30"/>
  <c r="C5" i="30"/>
  <c r="E19" i="113"/>
  <c r="F19" i="113"/>
  <c r="G19" i="113"/>
  <c r="H19" i="113"/>
  <c r="I19" i="113"/>
  <c r="J19" i="113"/>
  <c r="K19" i="113"/>
  <c r="L19" i="113"/>
  <c r="D19" i="113"/>
  <c r="E18" i="113"/>
  <c r="F18" i="113"/>
  <c r="G18" i="113"/>
  <c r="H18" i="113"/>
  <c r="I18" i="113"/>
  <c r="J18" i="113"/>
  <c r="K18" i="113"/>
  <c r="L18" i="113"/>
  <c r="D18" i="113"/>
  <c r="E17" i="113"/>
  <c r="F17" i="113"/>
  <c r="G17" i="113"/>
  <c r="H17" i="113"/>
  <c r="I17" i="113"/>
  <c r="J17" i="113"/>
  <c r="K17" i="113"/>
  <c r="L17" i="113"/>
  <c r="D17" i="113"/>
  <c r="E16" i="113"/>
  <c r="F16" i="113"/>
  <c r="G16" i="113"/>
  <c r="H16" i="113"/>
  <c r="I16" i="113"/>
  <c r="J16" i="113"/>
  <c r="K16" i="113"/>
  <c r="L16" i="113"/>
  <c r="D16" i="113"/>
  <c r="E15" i="113"/>
  <c r="F15" i="113"/>
  <c r="G15" i="113"/>
  <c r="H15" i="113"/>
  <c r="I15" i="113"/>
  <c r="J15" i="113"/>
  <c r="K15" i="113"/>
  <c r="L15" i="113"/>
  <c r="D15" i="113"/>
  <c r="E14" i="113"/>
  <c r="F14" i="113"/>
  <c r="G14" i="113"/>
  <c r="H14" i="113"/>
  <c r="I14" i="113"/>
  <c r="J14" i="113"/>
  <c r="K14" i="113"/>
  <c r="L14" i="113"/>
  <c r="D14" i="113"/>
  <c r="F9" i="27" l="1"/>
  <c r="F8" i="27"/>
  <c r="F7" i="27"/>
  <c r="F32" i="317"/>
  <c r="F31" i="317"/>
  <c r="F30" i="317"/>
  <c r="F8" i="317"/>
  <c r="F7" i="317"/>
  <c r="F6" i="317"/>
  <c r="F20" i="113"/>
  <c r="G20" i="113"/>
  <c r="H20" i="113"/>
  <c r="L20" i="113"/>
  <c r="K20" i="113" l="1"/>
  <c r="E20" i="113"/>
  <c r="D20" i="113"/>
  <c r="J20" i="113"/>
  <c r="I20" i="113"/>
  <c r="B44" i="352" l="1"/>
  <c r="C44" i="352"/>
  <c r="D44" i="352"/>
  <c r="E44" i="352"/>
  <c r="F44" i="352"/>
  <c r="G9" i="50" l="1"/>
  <c r="H8" i="96" l="1"/>
  <c r="H6" i="96"/>
  <c r="H7" i="96"/>
  <c r="G9" i="96"/>
  <c r="C7" i="320" s="1"/>
  <c r="C13" i="320" l="1"/>
  <c r="E13" i="320" s="1"/>
  <c r="E105" i="352"/>
  <c r="C105" i="352"/>
  <c r="E100" i="352"/>
  <c r="C100" i="352"/>
  <c r="F95" i="352"/>
  <c r="G95" i="352" s="1"/>
  <c r="F90" i="352"/>
  <c r="L26" i="352" s="1"/>
  <c r="M26" i="352" s="1"/>
  <c r="C90" i="352"/>
  <c r="B90" i="352"/>
  <c r="C76" i="352"/>
  <c r="B76" i="352"/>
  <c r="B70" i="352"/>
  <c r="B64" i="352"/>
  <c r="C60" i="352"/>
  <c r="F51" i="352"/>
  <c r="E51" i="352"/>
  <c r="D51" i="352"/>
  <c r="C51" i="352"/>
  <c r="B51" i="352"/>
  <c r="N27" i="352"/>
  <c r="L27" i="352"/>
  <c r="A13" i="352"/>
  <c r="L3" i="352"/>
  <c r="E28" i="351"/>
  <c r="D28" i="351"/>
  <c r="E27" i="351"/>
  <c r="D27" i="351"/>
  <c r="E26" i="351"/>
  <c r="D26" i="351"/>
  <c r="E25" i="351"/>
  <c r="D25" i="351"/>
  <c r="D7" i="351"/>
  <c r="D6" i="351"/>
  <c r="D5" i="351"/>
  <c r="G21" i="336"/>
  <c r="F21" i="336"/>
  <c r="E21" i="336"/>
  <c r="D21" i="336"/>
  <c r="F20" i="336"/>
  <c r="D20" i="336"/>
  <c r="F19" i="336"/>
  <c r="D19" i="336"/>
  <c r="F18" i="336"/>
  <c r="D18" i="336"/>
  <c r="F17" i="336"/>
  <c r="D17" i="336"/>
  <c r="F16" i="336"/>
  <c r="D16" i="336"/>
  <c r="F10" i="336"/>
  <c r="D10" i="336"/>
  <c r="F9" i="336"/>
  <c r="D9" i="336"/>
  <c r="F8" i="336"/>
  <c r="D8" i="336"/>
  <c r="F7" i="336"/>
  <c r="D7" i="336"/>
  <c r="F6" i="336"/>
  <c r="D6" i="336"/>
  <c r="I72" i="332"/>
  <c r="H72" i="332"/>
  <c r="I71" i="332"/>
  <c r="H71" i="332"/>
  <c r="I70" i="332"/>
  <c r="H70" i="332"/>
  <c r="I69" i="332"/>
  <c r="H69" i="332"/>
  <c r="I68" i="332"/>
  <c r="H68" i="332"/>
  <c r="I67" i="332"/>
  <c r="H67" i="332"/>
  <c r="I66" i="332"/>
  <c r="H66" i="332"/>
  <c r="I65" i="332"/>
  <c r="H65" i="332"/>
  <c r="I64" i="332"/>
  <c r="H64" i="332"/>
  <c r="I63" i="332"/>
  <c r="H63" i="332"/>
  <c r="I62" i="332"/>
  <c r="H62" i="332"/>
  <c r="I61" i="332"/>
  <c r="H61" i="332"/>
  <c r="A61" i="332"/>
  <c r="D43" i="332"/>
  <c r="C43" i="332"/>
  <c r="D42" i="332"/>
  <c r="C42" i="332"/>
  <c r="D41" i="332"/>
  <c r="C41" i="332"/>
  <c r="D40" i="332"/>
  <c r="C40" i="332"/>
  <c r="D39" i="332"/>
  <c r="C39" i="332"/>
  <c r="E32" i="332"/>
  <c r="D32" i="332"/>
  <c r="C32" i="332"/>
  <c r="E31" i="332"/>
  <c r="D31" i="332"/>
  <c r="C31" i="332"/>
  <c r="E30" i="332"/>
  <c r="D30" i="332"/>
  <c r="C30" i="332"/>
  <c r="E29" i="332"/>
  <c r="D29" i="332"/>
  <c r="C29" i="332"/>
  <c r="F22" i="332"/>
  <c r="E22" i="332"/>
  <c r="D22" i="332"/>
  <c r="C22" i="332"/>
  <c r="F21" i="332"/>
  <c r="E21" i="332"/>
  <c r="D21" i="332"/>
  <c r="C21" i="332"/>
  <c r="F20" i="332"/>
  <c r="E20" i="332"/>
  <c r="D20" i="332"/>
  <c r="C20" i="332"/>
  <c r="F19" i="332"/>
  <c r="E19" i="332"/>
  <c r="C19" i="332"/>
  <c r="F18" i="332"/>
  <c r="E18" i="332"/>
  <c r="C18" i="332"/>
  <c r="F11" i="332"/>
  <c r="E11" i="332"/>
  <c r="D11" i="332"/>
  <c r="C11" i="332"/>
  <c r="E10" i="332"/>
  <c r="D10" i="332"/>
  <c r="C10" i="332"/>
  <c r="E9" i="332"/>
  <c r="D9" i="332"/>
  <c r="C9" i="332"/>
  <c r="H22" i="8"/>
  <c r="H15" i="8"/>
  <c r="F15" i="8"/>
  <c r="H9" i="8"/>
  <c r="F9" i="8"/>
  <c r="I42" i="309"/>
  <c r="H42" i="309"/>
  <c r="G42" i="309"/>
  <c r="F42" i="309"/>
  <c r="E42" i="309"/>
  <c r="D42" i="309"/>
  <c r="C206" i="322"/>
  <c r="C206" i="255"/>
  <c r="I25" i="50"/>
  <c r="H25" i="50"/>
  <c r="F25" i="50"/>
  <c r="E25" i="50"/>
  <c r="D25" i="50"/>
  <c r="I24" i="50"/>
  <c r="H24" i="50"/>
  <c r="F24" i="50"/>
  <c r="E24" i="50"/>
  <c r="D24" i="50"/>
  <c r="I23" i="50"/>
  <c r="H23" i="50"/>
  <c r="F23" i="50"/>
  <c r="E23" i="50"/>
  <c r="D23" i="50"/>
  <c r="J21" i="50"/>
  <c r="G21" i="50"/>
  <c r="I63" i="50"/>
  <c r="H63" i="50"/>
  <c r="D20" i="50"/>
  <c r="J19" i="50"/>
  <c r="G19" i="50"/>
  <c r="I17" i="50"/>
  <c r="H17" i="50"/>
  <c r="H62" i="50" s="1"/>
  <c r="F17" i="50"/>
  <c r="E17" i="50"/>
  <c r="D17" i="50"/>
  <c r="J16" i="50"/>
  <c r="G16" i="50"/>
  <c r="J15" i="50"/>
  <c r="G15" i="50"/>
  <c r="J14" i="50"/>
  <c r="G14" i="50"/>
  <c r="J13" i="50"/>
  <c r="G13" i="50"/>
  <c r="I11" i="50"/>
  <c r="H11" i="50"/>
  <c r="H61" i="50" s="1"/>
  <c r="F11" i="50"/>
  <c r="E11" i="50"/>
  <c r="D11" i="50"/>
  <c r="J10" i="50"/>
  <c r="G10" i="50"/>
  <c r="J9" i="50"/>
  <c r="J8" i="50"/>
  <c r="G8" i="50"/>
  <c r="J7" i="50"/>
  <c r="G7" i="50"/>
  <c r="J58" i="3"/>
  <c r="I58" i="3"/>
  <c r="E58" i="3"/>
  <c r="D58" i="3"/>
  <c r="D57" i="3"/>
  <c r="F17" i="3"/>
  <c r="E17" i="3"/>
  <c r="F16" i="3"/>
  <c r="E16" i="3"/>
  <c r="F15" i="3"/>
  <c r="E15" i="3"/>
  <c r="J57" i="3"/>
  <c r="F13" i="3"/>
  <c r="I57" i="3" s="1"/>
  <c r="E13" i="3"/>
  <c r="E56" i="3"/>
  <c r="D56" i="3"/>
  <c r="J56" i="3"/>
  <c r="F9" i="3"/>
  <c r="I56" i="3" s="1"/>
  <c r="E9" i="3"/>
  <c r="O19" i="33"/>
  <c r="O18" i="33"/>
  <c r="O14" i="33"/>
  <c r="P14" i="33" s="1"/>
  <c r="I21" i="26"/>
  <c r="I21" i="336" s="1"/>
  <c r="H21" i="26"/>
  <c r="H21" i="336" s="1"/>
  <c r="H20" i="26"/>
  <c r="H20" i="336" s="1"/>
  <c r="G20" i="336"/>
  <c r="E20" i="26"/>
  <c r="E20" i="336" s="1"/>
  <c r="H19" i="26"/>
  <c r="H19" i="336" s="1"/>
  <c r="G19" i="336"/>
  <c r="E19" i="26"/>
  <c r="E19" i="336" s="1"/>
  <c r="H18" i="26"/>
  <c r="H18" i="336" s="1"/>
  <c r="G18" i="336"/>
  <c r="E18" i="26"/>
  <c r="E18" i="336" s="1"/>
  <c r="H17" i="26"/>
  <c r="H17" i="336" s="1"/>
  <c r="G17" i="336"/>
  <c r="E17" i="26"/>
  <c r="E17" i="336" s="1"/>
  <c r="H16" i="26"/>
  <c r="H16" i="336" s="1"/>
  <c r="G16" i="336"/>
  <c r="E16" i="26"/>
  <c r="E16" i="336" s="1"/>
  <c r="F11" i="26"/>
  <c r="F11" i="336" s="1"/>
  <c r="D11" i="336"/>
  <c r="H10" i="26"/>
  <c r="H10" i="336" s="1"/>
  <c r="G10" i="336"/>
  <c r="E10" i="336"/>
  <c r="H9" i="26"/>
  <c r="H9" i="336" s="1"/>
  <c r="G9" i="336"/>
  <c r="E9" i="336"/>
  <c r="H8" i="26"/>
  <c r="H8" i="336" s="1"/>
  <c r="G8" i="336"/>
  <c r="E8" i="336"/>
  <c r="H7" i="26"/>
  <c r="H7" i="336" s="1"/>
  <c r="G7" i="336"/>
  <c r="E7" i="336"/>
  <c r="H6" i="26"/>
  <c r="H6" i="336" s="1"/>
  <c r="E6" i="336"/>
  <c r="F35" i="27"/>
  <c r="D35" i="27"/>
  <c r="D10" i="27"/>
  <c r="F5" i="27"/>
  <c r="F33" i="317"/>
  <c r="D33" i="317"/>
  <c r="F5" i="317"/>
  <c r="D19" i="332" s="1"/>
  <c r="F4" i="317"/>
  <c r="D18" i="332" s="1"/>
  <c r="K16" i="351"/>
  <c r="J16" i="351"/>
  <c r="I16" i="351"/>
  <c r="H16" i="351"/>
  <c r="G16" i="351"/>
  <c r="F16" i="351"/>
  <c r="E16" i="351"/>
  <c r="D16" i="351"/>
  <c r="C16" i="351"/>
  <c r="E29" i="30"/>
  <c r="J15" i="351"/>
  <c r="I15" i="351"/>
  <c r="H15" i="351"/>
  <c r="G15" i="351"/>
  <c r="F15" i="351"/>
  <c r="E15" i="351"/>
  <c r="D15" i="351"/>
  <c r="C15" i="351"/>
  <c r="E28" i="30"/>
  <c r="J14" i="351"/>
  <c r="I14" i="351"/>
  <c r="H14" i="351"/>
  <c r="G14" i="351"/>
  <c r="F14" i="351"/>
  <c r="E14" i="351"/>
  <c r="D14" i="351"/>
  <c r="C14" i="351"/>
  <c r="E27" i="30"/>
  <c r="J13" i="351"/>
  <c r="I13" i="351"/>
  <c r="H13" i="351"/>
  <c r="G13" i="351"/>
  <c r="F13" i="351"/>
  <c r="E13" i="351"/>
  <c r="D13" i="351"/>
  <c r="C13" i="351"/>
  <c r="E33" i="24"/>
  <c r="D33" i="24"/>
  <c r="F9" i="24"/>
  <c r="E9" i="24"/>
  <c r="D12" i="332" s="1"/>
  <c r="D9" i="24"/>
  <c r="F10" i="332"/>
  <c r="F9" i="332"/>
  <c r="K76" i="352"/>
  <c r="M76" i="352"/>
  <c r="F25" i="320"/>
  <c r="E25" i="320"/>
  <c r="J7" i="320"/>
  <c r="N16" i="352" s="1"/>
  <c r="E7" i="320"/>
  <c r="E32" i="96"/>
  <c r="E64" i="352" s="1"/>
  <c r="F64" i="352"/>
  <c r="G31" i="96"/>
  <c r="G30" i="96"/>
  <c r="G29" i="96"/>
  <c r="G28" i="96"/>
  <c r="E9" i="96"/>
  <c r="B60" i="352" s="1"/>
  <c r="C9" i="96"/>
  <c r="Q4" i="52"/>
  <c r="H18" i="320" s="1"/>
  <c r="F10" i="320"/>
  <c r="C61" i="332" l="1"/>
  <c r="F33" i="24"/>
  <c r="C12" i="332"/>
  <c r="G9" i="24"/>
  <c r="F12" i="332" s="1"/>
  <c r="D9" i="35"/>
  <c r="C14" i="309"/>
  <c r="D10" i="35"/>
  <c r="G4" i="96"/>
  <c r="C10" i="320"/>
  <c r="C3" i="35"/>
  <c r="C4" i="320"/>
  <c r="F24" i="351"/>
  <c r="F4" i="320"/>
  <c r="B1" i="30"/>
  <c r="D9" i="53"/>
  <c r="D8" i="53"/>
  <c r="A11" i="352"/>
  <c r="D26" i="35"/>
  <c r="C7" i="56"/>
  <c r="D29" i="35"/>
  <c r="C7" i="55"/>
  <c r="B18" i="352"/>
  <c r="B19" i="352"/>
  <c r="E56" i="50"/>
  <c r="F56" i="50"/>
  <c r="B24" i="52"/>
  <c r="B16" i="352"/>
  <c r="F18" i="3"/>
  <c r="I59" i="3" s="1"/>
  <c r="N12" i="352"/>
  <c r="B13" i="352" s="1"/>
  <c r="L80" i="352"/>
  <c r="B46" i="332"/>
  <c r="G23" i="50"/>
  <c r="E23" i="332"/>
  <c r="C9" i="58"/>
  <c r="D7" i="53"/>
  <c r="B2" i="316"/>
  <c r="D6" i="35"/>
  <c r="E4" i="96"/>
  <c r="G5" i="26"/>
  <c r="D13" i="35"/>
  <c r="D15" i="35"/>
  <c r="B2" i="113"/>
  <c r="D8" i="332"/>
  <c r="I5" i="336"/>
  <c r="C50" i="352"/>
  <c r="D69" i="352"/>
  <c r="C94" i="352"/>
  <c r="C23" i="26"/>
  <c r="E5" i="33"/>
  <c r="D28" i="332"/>
  <c r="E28" i="332"/>
  <c r="I5" i="26"/>
  <c r="B5" i="332"/>
  <c r="D5" i="24"/>
  <c r="D35" i="352"/>
  <c r="F23" i="332"/>
  <c r="G20" i="50"/>
  <c r="J17" i="50"/>
  <c r="E43" i="332"/>
  <c r="F76" i="352"/>
  <c r="G64" i="352"/>
  <c r="D29" i="351"/>
  <c r="H9" i="96"/>
  <c r="N15" i="352" s="1"/>
  <c r="K17" i="352" s="1"/>
  <c r="F7" i="320"/>
  <c r="E29" i="351"/>
  <c r="G15" i="26"/>
  <c r="D12" i="35"/>
  <c r="D6" i="53"/>
  <c r="A1" i="96"/>
  <c r="F3" i="317"/>
  <c r="F3" i="27"/>
  <c r="E5" i="26"/>
  <c r="B2" i="33"/>
  <c r="F4" i="3"/>
  <c r="B1" i="332"/>
  <c r="G5" i="336"/>
  <c r="C69" i="352"/>
  <c r="C104" i="352"/>
  <c r="B5" i="316"/>
  <c r="B36" i="3"/>
  <c r="C8" i="58"/>
  <c r="C12" i="309"/>
  <c r="B53" i="332"/>
  <c r="G24" i="351"/>
  <c r="C34" i="352"/>
  <c r="D8" i="35"/>
  <c r="D25" i="35"/>
  <c r="D10" i="53"/>
  <c r="B21" i="316"/>
  <c r="E15" i="336"/>
  <c r="C89" i="352"/>
  <c r="C99" i="352"/>
  <c r="D22" i="35"/>
  <c r="D11" i="53"/>
  <c r="E15" i="26"/>
  <c r="B40" i="316"/>
  <c r="I9" i="58"/>
  <c r="D17" i="332"/>
  <c r="G15" i="336"/>
  <c r="C23" i="336"/>
  <c r="E8" i="352"/>
  <c r="C43" i="352"/>
  <c r="B63" i="352"/>
  <c r="B1" i="336"/>
  <c r="I15" i="336"/>
  <c r="B1" i="351"/>
  <c r="D43" i="352"/>
  <c r="C75" i="352"/>
  <c r="E24" i="351"/>
  <c r="D50" i="352"/>
  <c r="B58" i="352"/>
  <c r="C81" i="352"/>
  <c r="D7" i="35"/>
  <c r="O4" i="52"/>
  <c r="E27" i="96" s="1"/>
  <c r="D28" i="35"/>
  <c r="D12" i="53"/>
  <c r="B60" i="316"/>
  <c r="Z2" i="329"/>
  <c r="E4" i="50"/>
  <c r="Q23" i="52"/>
  <c r="D11" i="35"/>
  <c r="D5" i="53"/>
  <c r="D14" i="53"/>
  <c r="B2" i="24"/>
  <c r="A1" i="317"/>
  <c r="B1" i="27"/>
  <c r="B1" i="26"/>
  <c r="I15" i="26"/>
  <c r="B77" i="316"/>
  <c r="B2" i="3"/>
  <c r="AD7" i="330"/>
  <c r="D38" i="332"/>
  <c r="E5" i="336"/>
  <c r="G4" i="24"/>
  <c r="B59" i="316"/>
  <c r="B54" i="332"/>
  <c r="H5" i="336"/>
  <c r="H15" i="336"/>
  <c r="B69" i="352"/>
  <c r="B75" i="352"/>
  <c r="H3" i="96"/>
  <c r="D3" i="317"/>
  <c r="F5" i="26"/>
  <c r="F15" i="26"/>
  <c r="C17" i="332"/>
  <c r="D5" i="336"/>
  <c r="D15" i="336"/>
  <c r="C63" i="352"/>
  <c r="B104" i="352"/>
  <c r="B4" i="316"/>
  <c r="B76" i="316"/>
  <c r="C38" i="332"/>
  <c r="H5" i="26"/>
  <c r="H15" i="26"/>
  <c r="D5" i="33"/>
  <c r="D24" i="351"/>
  <c r="D5" i="26"/>
  <c r="F27" i="332"/>
  <c r="B94" i="352"/>
  <c r="C28" i="332"/>
  <c r="C4" i="96"/>
  <c r="B20" i="316"/>
  <c r="D3" i="27"/>
  <c r="B39" i="316"/>
  <c r="F5" i="336"/>
  <c r="F15" i="336"/>
  <c r="B81" i="352"/>
  <c r="B99" i="352"/>
  <c r="D15" i="26"/>
  <c r="E37" i="332"/>
  <c r="B89" i="352"/>
  <c r="P4" i="52"/>
  <c r="D29" i="24" s="1"/>
  <c r="C8" i="332"/>
  <c r="F46" i="113"/>
  <c r="D90" i="352"/>
  <c r="G90" i="352"/>
  <c r="I16" i="26"/>
  <c r="I16" i="336" s="1"/>
  <c r="I18" i="26"/>
  <c r="I18" i="336" s="1"/>
  <c r="I20" i="26"/>
  <c r="I20" i="336" s="1"/>
  <c r="I17" i="26"/>
  <c r="I17" i="336" s="1"/>
  <c r="I19" i="26"/>
  <c r="I19" i="336" s="1"/>
  <c r="N26" i="352"/>
  <c r="O26" i="352" s="1"/>
  <c r="B17" i="352" s="1"/>
  <c r="G11" i="26"/>
  <c r="C95" i="352" s="1"/>
  <c r="I9" i="26"/>
  <c r="I9" i="336" s="1"/>
  <c r="E11" i="26"/>
  <c r="E11" i="336" s="1"/>
  <c r="I6" i="26"/>
  <c r="I6" i="336" s="1"/>
  <c r="I8" i="26"/>
  <c r="I8" i="336" s="1"/>
  <c r="G6" i="336"/>
  <c r="I10" i="26"/>
  <c r="I10" i="336" s="1"/>
  <c r="I7" i="26"/>
  <c r="I7" i="336" s="1"/>
  <c r="B95" i="352"/>
  <c r="H11" i="26"/>
  <c r="H11" i="336" s="1"/>
  <c r="H56" i="50"/>
  <c r="E76" i="352" s="1"/>
  <c r="E82" i="352" s="1"/>
  <c r="J81" i="352"/>
  <c r="F10" i="27"/>
  <c r="N14" i="352" s="1"/>
  <c r="F9" i="317"/>
  <c r="N13" i="352" s="1"/>
  <c r="C23" i="332"/>
  <c r="D23" i="332"/>
  <c r="J20" i="50"/>
  <c r="J25" i="50"/>
  <c r="G17" i="50"/>
  <c r="G24" i="50"/>
  <c r="I62" i="50"/>
  <c r="J23" i="50"/>
  <c r="D26" i="50"/>
  <c r="H26" i="50"/>
  <c r="E60" i="352" s="1"/>
  <c r="J24" i="50"/>
  <c r="J11" i="50"/>
  <c r="I26" i="50"/>
  <c r="G25" i="50"/>
  <c r="G11" i="50"/>
  <c r="E26" i="50"/>
  <c r="F26" i="50"/>
  <c r="I61" i="50"/>
  <c r="E57" i="3"/>
  <c r="E59" i="3"/>
  <c r="J59" i="3"/>
  <c r="E18" i="3"/>
  <c r="B35" i="352" s="1"/>
  <c r="E42" i="332"/>
  <c r="E39" i="332"/>
  <c r="E41" i="332"/>
  <c r="E40" i="332"/>
  <c r="G46" i="113"/>
  <c r="P18" i="30"/>
  <c r="P19" i="30"/>
  <c r="H46" i="113"/>
  <c r="P20" i="30"/>
  <c r="P21" i="30"/>
  <c r="K13" i="351"/>
  <c r="L79" i="113"/>
  <c r="K14" i="351"/>
  <c r="I46" i="113"/>
  <c r="K15" i="351"/>
  <c r="C35" i="352"/>
  <c r="E12" i="332"/>
  <c r="D76" i="352"/>
  <c r="C82" i="352"/>
  <c r="C64" i="352"/>
  <c r="D64" i="352" s="1"/>
  <c r="G32" i="96"/>
  <c r="C33" i="332"/>
  <c r="F32" i="332"/>
  <c r="D60" i="352"/>
  <c r="F30" i="332"/>
  <c r="D33" i="332"/>
  <c r="F31" i="332"/>
  <c r="F29" i="332"/>
  <c r="E33" i="332"/>
  <c r="F13" i="320" l="1"/>
  <c r="H13" i="320" s="1"/>
  <c r="K13" i="320" s="1"/>
  <c r="B14" i="352"/>
  <c r="A25" i="317"/>
  <c r="N21" i="320"/>
  <c r="B15" i="352"/>
  <c r="D59" i="3"/>
  <c r="G11" i="336"/>
  <c r="F82" i="352"/>
  <c r="G82" i="352" s="1"/>
  <c r="G76" i="352"/>
  <c r="I7" i="320"/>
  <c r="H7" i="320"/>
  <c r="F75" i="352"/>
  <c r="E43" i="352"/>
  <c r="H4" i="50"/>
  <c r="E29" i="24"/>
  <c r="F69" i="352"/>
  <c r="E104" i="352"/>
  <c r="E63" i="352"/>
  <c r="F17" i="332"/>
  <c r="E99" i="352"/>
  <c r="F89" i="352"/>
  <c r="B29" i="50"/>
  <c r="F50" i="352"/>
  <c r="D34" i="352"/>
  <c r="F28" i="27"/>
  <c r="F27" i="317"/>
  <c r="F81" i="352"/>
  <c r="G69" i="352"/>
  <c r="E58" i="352"/>
  <c r="E50" i="352"/>
  <c r="O29" i="50"/>
  <c r="H4" i="3"/>
  <c r="F43" i="352"/>
  <c r="J26" i="352"/>
  <c r="F94" i="352"/>
  <c r="C6" i="54"/>
  <c r="D28" i="27"/>
  <c r="G27" i="96"/>
  <c r="D27" i="317"/>
  <c r="D104" i="352"/>
  <c r="F63" i="352"/>
  <c r="J27" i="352"/>
  <c r="E75" i="352"/>
  <c r="C27" i="96"/>
  <c r="E17" i="332"/>
  <c r="E89" i="352"/>
  <c r="E94" i="352"/>
  <c r="E69" i="352"/>
  <c r="B26" i="27"/>
  <c r="A25" i="96"/>
  <c r="D99" i="352"/>
  <c r="E81" i="352"/>
  <c r="B27" i="24"/>
  <c r="I11" i="26"/>
  <c r="I11" i="336" s="1"/>
  <c r="D95" i="352"/>
  <c r="J26" i="50"/>
  <c r="G26" i="50"/>
  <c r="H64" i="50"/>
  <c r="I64" i="50"/>
  <c r="F60" i="352"/>
  <c r="G60" i="352" s="1"/>
  <c r="J46" i="113"/>
  <c r="N20" i="113"/>
  <c r="F33" i="332"/>
  <c r="I13" i="320" l="1"/>
  <c r="B82" i="352"/>
  <c r="D82" i="352" s="1"/>
  <c r="K7" i="320"/>
</calcChain>
</file>

<file path=xl/comments1.xml><?xml version="1.0" encoding="utf-8"?>
<comments xmlns="http://schemas.openxmlformats.org/spreadsheetml/2006/main">
  <authors>
    <author>ADMIN</author>
    <author>Admin</author>
  </authors>
  <commentList>
    <comment ref="L88" authorId="0" shapeId="0">
      <text>
        <r>
          <rPr>
            <b/>
            <sz val="9"/>
            <color indexed="81"/>
            <rFont val="Tahoma"/>
            <family val="2"/>
          </rPr>
          <t>ADMIN:</t>
        </r>
        <r>
          <rPr>
            <sz val="9"/>
            <color indexed="81"/>
            <rFont val="Tahoma"/>
            <family val="2"/>
          </rPr>
          <t xml:space="preserve">
Taken 100% share of Nimmo Bazdo (3*15) in J&amp;K</t>
        </r>
      </text>
    </comment>
    <comment ref="L96" authorId="0" shapeId="0">
      <text>
        <r>
          <rPr>
            <b/>
            <sz val="9"/>
            <color indexed="81"/>
            <rFont val="Tahoma"/>
            <family val="2"/>
          </rPr>
          <t>ADMIN:</t>
        </r>
        <r>
          <rPr>
            <sz val="9"/>
            <color indexed="81"/>
            <rFont val="Tahoma"/>
            <family val="2"/>
          </rPr>
          <t xml:space="preserve">
Diff due to rounding off</t>
        </r>
      </text>
    </comment>
    <comment ref="L104" authorId="0" shapeId="0">
      <text>
        <r>
          <rPr>
            <b/>
            <sz val="9"/>
            <color indexed="81"/>
            <rFont val="Tahoma"/>
            <family val="2"/>
          </rPr>
          <t>ADMIN:</t>
        </r>
        <r>
          <rPr>
            <sz val="9"/>
            <color indexed="81"/>
            <rFont val="Tahoma"/>
            <family val="2"/>
          </rPr>
          <t xml:space="preserve">
Diff due to rounding off</t>
        </r>
      </text>
    </comment>
    <comment ref="L108" authorId="0" shapeId="0">
      <text>
        <r>
          <rPr>
            <b/>
            <sz val="9"/>
            <color indexed="81"/>
            <rFont val="Tahoma"/>
            <family val="2"/>
          </rPr>
          <t>ADMIN:</t>
        </r>
        <r>
          <rPr>
            <sz val="9"/>
            <color indexed="81"/>
            <rFont val="Tahoma"/>
            <family val="2"/>
          </rPr>
          <t xml:space="preserve">
Diff due to rounding off</t>
        </r>
      </text>
    </comment>
    <comment ref="N126" authorId="1" shapeId="0">
      <text>
        <r>
          <rPr>
            <b/>
            <sz val="9"/>
            <color indexed="81"/>
            <rFont val="Tahoma"/>
            <family val="2"/>
          </rPr>
          <t>Admin:</t>
        </r>
        <r>
          <rPr>
            <sz val="9"/>
            <color indexed="81"/>
            <rFont val="Tahoma"/>
            <family val="2"/>
          </rPr>
          <t xml:space="preserve">
difference due to change in capacity of Ratnagiri
</t>
        </r>
      </text>
    </comment>
    <comment ref="N130" authorId="1" shapeId="0">
      <text>
        <r>
          <rPr>
            <b/>
            <sz val="9"/>
            <color indexed="81"/>
            <rFont val="Tahoma"/>
            <family val="2"/>
          </rPr>
          <t>Admin:</t>
        </r>
        <r>
          <rPr>
            <sz val="9"/>
            <color indexed="81"/>
            <rFont val="Tahoma"/>
            <family val="2"/>
          </rPr>
          <t xml:space="preserve">
difference due to change in capacity of Ratnagiri, Vindhyachal IV, Tarapur &amp; Kahalgaon-II</t>
        </r>
      </text>
    </comment>
    <comment ref="L135" authorId="0" shapeId="0">
      <text>
        <r>
          <rPr>
            <b/>
            <sz val="9"/>
            <color indexed="81"/>
            <rFont val="Tahoma"/>
            <family val="2"/>
          </rPr>
          <t>ADMIN:</t>
        </r>
        <r>
          <rPr>
            <sz val="9"/>
            <color indexed="81"/>
            <rFont val="Tahoma"/>
            <family val="2"/>
          </rPr>
          <t xml:space="preserve">
90MW out of 620MW to railways has been allocated to Gujarat
</t>
        </r>
      </text>
    </comment>
    <comment ref="M138" authorId="1" shapeId="0">
      <text>
        <r>
          <rPr>
            <b/>
            <sz val="9"/>
            <color indexed="81"/>
            <rFont val="Tahoma"/>
            <family val="2"/>
          </rPr>
          <t>Admin:</t>
        </r>
        <r>
          <rPr>
            <sz val="9"/>
            <color indexed="81"/>
            <rFont val="Tahoma"/>
            <family val="2"/>
          </rPr>
          <t xml:space="preserve">
2.72 allocated to HVDC Champa PGCIL</t>
        </r>
      </text>
    </comment>
    <comment ref="L139" authorId="0" shapeId="0">
      <text>
        <r>
          <rPr>
            <b/>
            <sz val="9"/>
            <color indexed="81"/>
            <rFont val="Tahoma"/>
            <family val="2"/>
          </rPr>
          <t>ADMIN:</t>
        </r>
        <r>
          <rPr>
            <sz val="9"/>
            <color indexed="81"/>
            <rFont val="Tahoma"/>
            <family val="2"/>
          </rPr>
          <t xml:space="preserve">
200MW out of 620MW to railways has been allocated to M.P.</t>
        </r>
      </text>
    </comment>
    <comment ref="M142" authorId="1" shapeId="0">
      <text>
        <r>
          <rPr>
            <b/>
            <sz val="9"/>
            <color indexed="81"/>
            <rFont val="Tahoma"/>
            <family val="2"/>
          </rPr>
          <t>Admin:</t>
        </r>
        <r>
          <rPr>
            <sz val="9"/>
            <color indexed="81"/>
            <rFont val="Tahoma"/>
            <family val="2"/>
          </rPr>
          <t xml:space="preserve">
280 MW to SAIL from BHILAI and 75 MW Merchant power from Korba U7</t>
        </r>
      </text>
    </comment>
    <comment ref="M146" authorId="0" shapeId="0">
      <text>
        <r>
          <rPr>
            <b/>
            <sz val="9"/>
            <color indexed="81"/>
            <rFont val="Tahoma"/>
            <family val="2"/>
          </rPr>
          <t>ADMIN:</t>
        </r>
        <r>
          <rPr>
            <sz val="9"/>
            <color indexed="81"/>
            <rFont val="Tahoma"/>
            <family val="2"/>
          </rPr>
          <t xml:space="preserve">
difference due to change in capacity of 240MW Ratnagiri and 570MW allocated to Railaway</t>
        </r>
      </text>
    </comment>
    <comment ref="L147" authorId="0" shapeId="0">
      <text>
        <r>
          <rPr>
            <b/>
            <sz val="9"/>
            <color indexed="81"/>
            <rFont val="Tahoma"/>
            <family val="2"/>
          </rPr>
          <t>ADMIN:</t>
        </r>
        <r>
          <rPr>
            <sz val="9"/>
            <color indexed="81"/>
            <rFont val="Tahoma"/>
            <family val="2"/>
          </rPr>
          <t xml:space="preserve">
Diff due to allocation of 250 MW of Railway in Maharashtra; 100% of Unit 2 (660MW ) of Mauda in Maharashtra;
Error in share of Mharashtra of GM allocation of -81MW</t>
        </r>
      </text>
    </comment>
    <comment ref="N150" authorId="1" shapeId="0">
      <text>
        <r>
          <rPr>
            <b/>
            <sz val="9"/>
            <color indexed="81"/>
            <rFont val="Tahoma"/>
            <family val="2"/>
          </rPr>
          <t>Admin:</t>
        </r>
        <r>
          <rPr>
            <sz val="9"/>
            <color indexed="81"/>
            <rFont val="Tahoma"/>
            <family val="2"/>
          </rPr>
          <t xml:space="preserve">
difference due to change in capacity of Ratnagiri
</t>
        </r>
      </text>
    </comment>
    <comment ref="M214" authorId="0" shapeId="0">
      <text>
        <r>
          <rPr>
            <b/>
            <sz val="9"/>
            <color indexed="81"/>
            <rFont val="Tahoma"/>
            <family val="2"/>
          </rPr>
          <t>ADMIN:</t>
        </r>
        <r>
          <rPr>
            <sz val="9"/>
            <color indexed="81"/>
            <rFont val="Tahoma"/>
            <family val="2"/>
          </rPr>
          <t xml:space="preserve">
Bhutan capacity deducted
225 MW of Nabinagar TPS added to Bihar which is allocated to railways. U3 of 195 MW of mujaffarpur TPS added.</t>
        </r>
      </text>
    </comment>
    <comment ref="M218" authorId="0" shapeId="0">
      <text>
        <r>
          <rPr>
            <b/>
            <sz val="9"/>
            <color indexed="81"/>
            <rFont val="Tahoma"/>
            <family val="2"/>
          </rPr>
          <t>ADMIN:</t>
        </r>
        <r>
          <rPr>
            <sz val="9"/>
            <color indexed="81"/>
            <rFont val="Tahoma"/>
            <family val="2"/>
          </rPr>
          <t xml:space="preserve">
Bhutan capacity deducted</t>
        </r>
      </text>
    </comment>
    <comment ref="M222" authorId="0" shapeId="0">
      <text>
        <r>
          <rPr>
            <b/>
            <sz val="9"/>
            <color indexed="81"/>
            <rFont val="Tahoma"/>
            <family val="2"/>
          </rPr>
          <t>ADMIN:</t>
        </r>
        <r>
          <rPr>
            <sz val="9"/>
            <color indexed="81"/>
            <rFont val="Tahoma"/>
            <family val="2"/>
          </rPr>
          <t xml:space="preserve">
Bhutan capacity deducted
Teesta low dam U1 to U4 of 160 MW</t>
        </r>
      </text>
    </comment>
    <comment ref="M226" authorId="1" shapeId="0">
      <text>
        <r>
          <rPr>
            <b/>
            <sz val="9"/>
            <color indexed="81"/>
            <rFont val="Tahoma"/>
            <family val="2"/>
          </rPr>
          <t>Admin:</t>
        </r>
        <r>
          <rPr>
            <sz val="9"/>
            <color indexed="81"/>
            <rFont val="Tahoma"/>
            <family val="2"/>
          </rPr>
          <t xml:space="preserve">
Bhutan capacity deducted
maithon gas U1to3 of 90 MW, durgapur U3 of 130 MW and U1 chandrapura  of 130 MW retired. Raghunathpur U1&amp;2 of 1200 MW and Bokaro A of 500 MW added.</t>
        </r>
      </text>
    </comment>
    <comment ref="M230" authorId="1" shapeId="0">
      <text>
        <r>
          <rPr>
            <b/>
            <sz val="9"/>
            <color indexed="81"/>
            <rFont val="Tahoma"/>
            <family val="2"/>
          </rPr>
          <t>Admin:</t>
        </r>
        <r>
          <rPr>
            <sz val="9"/>
            <color indexed="81"/>
            <rFont val="Tahoma"/>
            <family val="2"/>
          </rPr>
          <t xml:space="preserve">
Bhutan capacity deducted</t>
        </r>
      </text>
    </comment>
    <comment ref="M253" authorId="1" shapeId="0">
      <text>
        <r>
          <rPr>
            <b/>
            <sz val="9"/>
            <color indexed="81"/>
            <rFont val="Tahoma"/>
            <family val="2"/>
          </rPr>
          <t>Admin:</t>
        </r>
        <r>
          <rPr>
            <sz val="9"/>
            <color indexed="81"/>
            <rFont val="Tahoma"/>
            <family val="2"/>
          </rPr>
          <t xml:space="preserve">
2.5 MW allocated to Power Grid HVDC</t>
        </r>
      </text>
    </comment>
    <comment ref="M265" authorId="1" shapeId="0">
      <text>
        <r>
          <rPr>
            <b/>
            <sz val="9"/>
            <color indexed="81"/>
            <rFont val="Tahoma"/>
            <family val="2"/>
          </rPr>
          <t>Admin:</t>
        </r>
        <r>
          <rPr>
            <sz val="9"/>
            <color indexed="81"/>
            <rFont val="Tahoma"/>
            <family val="2"/>
          </rPr>
          <t xml:space="preserve">
98 MW power from Pallatana GPP is allocated to IL&amp;FS/OTPC.</t>
        </r>
      </text>
    </comment>
  </commentList>
</comments>
</file>

<file path=xl/sharedStrings.xml><?xml version="1.0" encoding="utf-8"?>
<sst xmlns="http://schemas.openxmlformats.org/spreadsheetml/2006/main" count="6929" uniqueCount="2021">
  <si>
    <t xml:space="preserve">Total </t>
  </si>
  <si>
    <t>HVDC</t>
  </si>
  <si>
    <t>Section F - Power supply position</t>
  </si>
  <si>
    <t>Section G - Growth of Power Sector</t>
  </si>
  <si>
    <t>Captive</t>
  </si>
  <si>
    <t>THERMAL</t>
  </si>
  <si>
    <t>01.04.11 to 31.03.12</t>
  </si>
  <si>
    <t>01.04.09 to 31.03.10</t>
  </si>
  <si>
    <t>CENTRAL SECTOR</t>
  </si>
  <si>
    <t>DVC</t>
  </si>
  <si>
    <t>PRIVATE SECTOR</t>
  </si>
  <si>
    <t>9th Plan</t>
  </si>
  <si>
    <t>1997-98</t>
  </si>
  <si>
    <t>1998-99</t>
  </si>
  <si>
    <t>1999-00</t>
  </si>
  <si>
    <t>2000-01</t>
  </si>
  <si>
    <t>2001-02</t>
  </si>
  <si>
    <t>2002-03</t>
  </si>
  <si>
    <t>2003-04</t>
  </si>
  <si>
    <t>2004-05</t>
  </si>
  <si>
    <t>2005-06</t>
  </si>
  <si>
    <t>Bhutan Import</t>
  </si>
  <si>
    <t>Contents</t>
  </si>
  <si>
    <t>Section A - Highlights of Power Sector</t>
  </si>
  <si>
    <t>T &amp; D and AT &amp; C Losses (%)</t>
  </si>
  <si>
    <t>482864 #</t>
  </si>
  <si>
    <t xml:space="preserve">Section C - Transmission Lines </t>
  </si>
  <si>
    <t xml:space="preserve">Peak Shortage of Power Supply (MW) in Different Regions </t>
  </si>
  <si>
    <r>
      <t>iii)</t>
    </r>
    <r>
      <rPr>
        <sz val="10"/>
        <rFont val="Arial"/>
        <family val="2"/>
      </rPr>
      <t xml:space="preserve"> The number of households electrified should be at least 10% of the total number of households in the village</t>
    </r>
  </si>
  <si>
    <r>
      <t>iv)</t>
    </r>
    <r>
      <rPr>
        <sz val="10"/>
        <rFont val="Arial"/>
        <family val="2"/>
      </rPr>
      <t xml:space="preserve"> Mandatory Certification from Gram Panchayat regarding the completion of village electrification should be obtained.</t>
    </r>
  </si>
  <si>
    <r>
      <t>ii)</t>
    </r>
    <r>
      <rPr>
        <sz val="10"/>
        <rFont val="Arial"/>
        <family val="2"/>
      </rPr>
      <t xml:space="preserve"> Electricity is provided to Public places like Schools, Panchayat Office, Health Centre,  Dispensaries, Community Centres etc. and</t>
    </r>
  </si>
  <si>
    <t>All India Yearly Coal consumption for Power Generation (Utilities)</t>
  </si>
  <si>
    <t xml:space="preserve">Section B - Capacity Addition </t>
  </si>
  <si>
    <t>Ministry of Power</t>
  </si>
  <si>
    <t>Central Electricity Authority</t>
  </si>
  <si>
    <t>Plan Year</t>
  </si>
  <si>
    <t xml:space="preserve"> Villages Electricfied (Nos.)</t>
  </si>
  <si>
    <t>Pump Sets Energised</t>
  </si>
  <si>
    <t xml:space="preserve"> # No. of villages electrified is reduced due to revision of data by states as per new definition of villiage electrification since 2004-05</t>
  </si>
  <si>
    <t xml:space="preserve">Cumu. upto End of 11th Plan            </t>
  </si>
  <si>
    <t xml:space="preserve">Cumu. upto End of 10th Plan  </t>
  </si>
  <si>
    <t>YEAR</t>
  </si>
  <si>
    <t>Coal Consumption Million Tonnes</t>
  </si>
  <si>
    <t>2006-07</t>
  </si>
  <si>
    <t>2007-08</t>
  </si>
  <si>
    <t>हिमाचल प्रदेश / Himachal Pradesh</t>
  </si>
  <si>
    <t>पंजाब / Punjab</t>
  </si>
  <si>
    <t>राजस्थान / Rajasthan</t>
  </si>
  <si>
    <t>गुजरात / Gujarat</t>
  </si>
  <si>
    <t>मध्य प्रदेश / Madhya Pradesh</t>
  </si>
  <si>
    <t>महाराष्ट्र / Maharashtra</t>
  </si>
  <si>
    <t>दमन और दिउ / Daman &amp; Diu</t>
  </si>
  <si>
    <t>गोवा / Goa</t>
  </si>
  <si>
    <t>पश्चिमी क्षेत्र / Western Region</t>
  </si>
  <si>
    <t>आन्ध्र प्रदेश / Andhra Pradesh</t>
  </si>
  <si>
    <t>तेलंगाना / Telangana</t>
  </si>
  <si>
    <t>कर्नाटक / Karnataka</t>
  </si>
  <si>
    <t>केरल / Kerala</t>
  </si>
  <si>
    <t>तमिल नाडू / Tamil Nadu</t>
  </si>
  <si>
    <t>पुडुचेरी / Puducherry</t>
  </si>
  <si>
    <t>दक्षिणी क्षेत्र / Southern Region</t>
  </si>
  <si>
    <t>बिहार / Bihar</t>
  </si>
  <si>
    <t>झारखण्ड / Jharkhand</t>
  </si>
  <si>
    <t>ओडिशा/ Odisha</t>
  </si>
  <si>
    <t>पश्चिम बंगाल / West Bengal</t>
  </si>
  <si>
    <t>सिक्किम / Sikkim</t>
  </si>
  <si>
    <t>पूर्वी क्षेत्र/ Eastern Region</t>
  </si>
  <si>
    <t>अरुणाचल प्रदेश / Arunachal Pradesh</t>
  </si>
  <si>
    <t>असम / Assam</t>
  </si>
  <si>
    <t>मणिपुर / Manipur</t>
  </si>
  <si>
    <t xml:space="preserve">मेघालय / Meghalaya </t>
  </si>
  <si>
    <t xml:space="preserve">मिज़ोरम / Mizoram </t>
  </si>
  <si>
    <t xml:space="preserve">नागालैंड / Nagaland </t>
  </si>
  <si>
    <t>सम्पूर्ण भारत  / All India</t>
  </si>
  <si>
    <t>2008-09</t>
  </si>
  <si>
    <t>2009-10</t>
  </si>
  <si>
    <t>Per Capita Consumption ( kWh)#</t>
  </si>
  <si>
    <t>SN</t>
  </si>
  <si>
    <t>Page</t>
  </si>
  <si>
    <t>8-9</t>
  </si>
  <si>
    <t>11</t>
  </si>
  <si>
    <t>Power (MW)</t>
  </si>
  <si>
    <t>AT&amp;C Losses</t>
  </si>
  <si>
    <t>% Villages electrified</t>
  </si>
  <si>
    <t>(In MW)</t>
  </si>
  <si>
    <t>Plan / Year</t>
  </si>
  <si>
    <t xml:space="preserve">Hydro </t>
  </si>
  <si>
    <t xml:space="preserve">Gas </t>
  </si>
  <si>
    <t>End of 6th Plan</t>
  </si>
  <si>
    <t xml:space="preserve">End of 7th Plan </t>
  </si>
  <si>
    <t xml:space="preserve">End of 8th Plan </t>
  </si>
  <si>
    <t>End of 9th Plan</t>
  </si>
  <si>
    <t xml:space="preserve">End of 10th Plan </t>
  </si>
  <si>
    <t>End of 11th Plan</t>
  </si>
  <si>
    <t>.</t>
  </si>
  <si>
    <t>All India Coal consumption for Power Generation (MT)</t>
  </si>
  <si>
    <t>14-19</t>
  </si>
  <si>
    <t>2014-15</t>
  </si>
  <si>
    <t xml:space="preserve">2013-14 </t>
  </si>
  <si>
    <t>Name of Utility/Power Station</t>
  </si>
  <si>
    <t>REGION</t>
  </si>
  <si>
    <t>SECTOR</t>
  </si>
  <si>
    <t>UTILITY</t>
  </si>
  <si>
    <t>Energy Source-
Coal/Gas/
Naptha/LSHS/
Diesel/Hydro</t>
  </si>
  <si>
    <t>State where the 
unit is located</t>
  </si>
  <si>
    <t>Installed
Capacity(MW)</t>
  </si>
  <si>
    <t>2015-16</t>
  </si>
  <si>
    <t>NORTHERN REGION</t>
  </si>
  <si>
    <t>HYDRO-HYDRO</t>
  </si>
  <si>
    <t>HIMACHAL PRADESH</t>
  </si>
  <si>
    <t>BAIRA SIUL  HPS</t>
  </si>
  <si>
    <t>NHPC LTD.</t>
  </si>
  <si>
    <t>CHAMERA- I  HPS</t>
  </si>
  <si>
    <t>CHAMERA- II  HPS</t>
  </si>
  <si>
    <t>DHAULI GANGA  HPS</t>
  </si>
  <si>
    <t>UTTARAKHAND</t>
  </si>
  <si>
    <t>DULHASTI  HPS</t>
  </si>
  <si>
    <t>SALAL  HPS</t>
  </si>
  <si>
    <t xml:space="preserve">SEWA - II </t>
  </si>
  <si>
    <t>NTPC LTD.</t>
  </si>
  <si>
    <t>THERMAL-GAS</t>
  </si>
  <si>
    <t>RAJASTHAN</t>
  </si>
  <si>
    <t>AURAIYA CCPP</t>
  </si>
  <si>
    <t>UTTAR PRADESH</t>
  </si>
  <si>
    <t xml:space="preserve">THERMAL-COAL </t>
  </si>
  <si>
    <t>DELHI</t>
  </si>
  <si>
    <t>DADRI CCPP</t>
  </si>
  <si>
    <t>HARYANA</t>
  </si>
  <si>
    <t>RIHAND STPS I</t>
  </si>
  <si>
    <t>RIHAND STPS III</t>
  </si>
  <si>
    <t>SINGRAULI STPS</t>
  </si>
  <si>
    <t>Chattisgarh</t>
  </si>
  <si>
    <t>NARORA  A.P.S. 1 &amp; 2</t>
  </si>
  <si>
    <t>NPCIL</t>
  </si>
  <si>
    <t>NUCLEAR-NUCLEAR</t>
  </si>
  <si>
    <t>NJHPS</t>
  </si>
  <si>
    <t>SJVNL</t>
  </si>
  <si>
    <t xml:space="preserve">TEHRI HPP   </t>
  </si>
  <si>
    <t>THDC</t>
  </si>
  <si>
    <t xml:space="preserve">KOTESHWAR HEP </t>
  </si>
  <si>
    <t xml:space="preserve">NEYVELI BARSINGSAR </t>
  </si>
  <si>
    <t>THERMAL-LIG</t>
  </si>
  <si>
    <t>HPGCL</t>
  </si>
  <si>
    <t xml:space="preserve">GIRI POWER HOUSE </t>
  </si>
  <si>
    <t>HPSEB</t>
  </si>
  <si>
    <t xml:space="preserve">ANDHRA POWER HOUSE </t>
  </si>
  <si>
    <t xml:space="preserve">GHANVI POWER HOUSE </t>
  </si>
  <si>
    <t xml:space="preserve">BASSI POWER HOUSE </t>
  </si>
  <si>
    <t xml:space="preserve">BINWA POWER HOUSE </t>
  </si>
  <si>
    <t xml:space="preserve">GAJ POWER HOUSE </t>
  </si>
  <si>
    <t xml:space="preserve">BANER POWER HOUSE </t>
  </si>
  <si>
    <t xml:space="preserve">HOLI POWER HOUSE </t>
  </si>
  <si>
    <t xml:space="preserve">THIROT POWER HOUSE </t>
  </si>
  <si>
    <t xml:space="preserve">KHAULI POWER HOUSE </t>
  </si>
  <si>
    <t xml:space="preserve">LARJI POWER HOUSE </t>
  </si>
  <si>
    <t xml:space="preserve">NOGLI POWER HOUSE </t>
  </si>
  <si>
    <t xml:space="preserve">CHABA POWER HOUSE </t>
  </si>
  <si>
    <t>IPGCL</t>
  </si>
  <si>
    <t>THERMAL-COAL</t>
  </si>
  <si>
    <t xml:space="preserve">LOWER JHELUM  </t>
  </si>
  <si>
    <t xml:space="preserve">JAMMU &amp; KASHMIR </t>
  </si>
  <si>
    <t>UPPER SINDH -I SUMBAL KANGAN</t>
  </si>
  <si>
    <t>UPPER SINDH -II KANGAN</t>
  </si>
  <si>
    <t xml:space="preserve">GANDHARBAL  </t>
  </si>
  <si>
    <t xml:space="preserve">KARNAH MPH    </t>
  </si>
  <si>
    <t xml:space="preserve">CHENANI  I </t>
  </si>
  <si>
    <t>CHENANI  II</t>
  </si>
  <si>
    <t>CHENANI  III UDHAMPUR</t>
  </si>
  <si>
    <t xml:space="preserve">IQBAL MHP KARGIL </t>
  </si>
  <si>
    <t>PAHALGAM MHP</t>
  </si>
  <si>
    <t xml:space="preserve">MARPACHOO   </t>
  </si>
  <si>
    <t xml:space="preserve">HAFTAL                  </t>
  </si>
  <si>
    <t>PUNJAB</t>
  </si>
  <si>
    <t xml:space="preserve">RAJASTHAN  </t>
  </si>
  <si>
    <t xml:space="preserve">MAHI HYDEL POWER STATION </t>
  </si>
  <si>
    <t>UPJVNL</t>
  </si>
  <si>
    <t>ANPARA  A TPS</t>
  </si>
  <si>
    <t>UPRVUNL</t>
  </si>
  <si>
    <t>ANPARA  B TPS</t>
  </si>
  <si>
    <t>HARDUAGANJ TPS</t>
  </si>
  <si>
    <t>HARDUAGANJ EXTN. TPS</t>
  </si>
  <si>
    <t>OBRA  B TPS</t>
  </si>
  <si>
    <t>PARICHHA TPS</t>
  </si>
  <si>
    <t>PARICHHA EXTN.TPS</t>
  </si>
  <si>
    <t>PARICHHA EXTN. ST. 2 TPS</t>
  </si>
  <si>
    <t>CHIBRO (YAMUNA)  HPS</t>
  </si>
  <si>
    <t>UTTARAKHAND JVNL</t>
  </si>
  <si>
    <t>CHILLA  HPS</t>
  </si>
  <si>
    <t>DHAKRANI  HPS</t>
  </si>
  <si>
    <t>DHALIPUR  HPS</t>
  </si>
  <si>
    <t>KHATIMA  HPS</t>
  </si>
  <si>
    <t>KHODRI  HPS</t>
  </si>
  <si>
    <t>KULHAL  HPS</t>
  </si>
  <si>
    <t>TILOTH HPS</t>
  </si>
  <si>
    <t>MANERI BHALI - II  HPS</t>
  </si>
  <si>
    <t>RAMGANGA  HPS</t>
  </si>
  <si>
    <t>KARCHAM WANGTOO HEP</t>
  </si>
  <si>
    <t>MALANA PCL</t>
  </si>
  <si>
    <t xml:space="preserve">EVEREST PPL </t>
  </si>
  <si>
    <t xml:space="preserve">THERMAL-LIG </t>
  </si>
  <si>
    <t xml:space="preserve">THERMAL-GAS </t>
  </si>
  <si>
    <t>KHAMBERKHERA</t>
  </si>
  <si>
    <t>BAJAJ ENERGY PVT. LTD.</t>
  </si>
  <si>
    <t>BARKHERA</t>
  </si>
  <si>
    <t>MAQSOODAPUR</t>
  </si>
  <si>
    <t>UTRAULA</t>
  </si>
  <si>
    <t>KUNDARKHI</t>
  </si>
  <si>
    <t>WESTERN REGION</t>
  </si>
  <si>
    <t>INDIRA SAGAR  HPS</t>
  </si>
  <si>
    <t xml:space="preserve">NHDC LTD.  </t>
  </si>
  <si>
    <t>MADHYA PRADESH</t>
  </si>
  <si>
    <t>GUJARAT</t>
  </si>
  <si>
    <t>KAWAS CCPP</t>
  </si>
  <si>
    <t>CHHATTISGARH</t>
  </si>
  <si>
    <t>SIPAT STPS I</t>
  </si>
  <si>
    <t>SIPAT STPS II</t>
  </si>
  <si>
    <t>VINDHYACHAL STPS I</t>
  </si>
  <si>
    <t>VINDHYACHAL STPS II</t>
  </si>
  <si>
    <t>VINDHYACHAL STPS III</t>
  </si>
  <si>
    <t>VINDHYACHAL STPS    IV</t>
  </si>
  <si>
    <t>MAHARASHTRA</t>
  </si>
  <si>
    <t xml:space="preserve">KAKRAPARA 1 &amp; 2 </t>
  </si>
  <si>
    <t xml:space="preserve">NPCIL </t>
  </si>
  <si>
    <t xml:space="preserve">KORBA TPS EAST </t>
  </si>
  <si>
    <t>CSPGCL</t>
  </si>
  <si>
    <t>BANGO  HEP</t>
  </si>
  <si>
    <t>SIKASAR  HEP</t>
  </si>
  <si>
    <t>DHUVARAN CCPP-1</t>
  </si>
  <si>
    <t>DHUVARAN CCPP-2</t>
  </si>
  <si>
    <t>GANDHI NAGAR TPS 5</t>
  </si>
  <si>
    <t>KUTCH LIG. TPS 4</t>
  </si>
  <si>
    <t>WANAKBORI TPS 1-6</t>
  </si>
  <si>
    <t>WANAKBORI TPS 7</t>
  </si>
  <si>
    <t>Renewable Energy Generation</t>
  </si>
  <si>
    <t>Figs in MU</t>
  </si>
  <si>
    <t>Cummulative Achievement</t>
  </si>
  <si>
    <t>KADANA  HPS</t>
  </si>
  <si>
    <t>UKAI  HPS</t>
  </si>
  <si>
    <t>RANI AVANTI BAI-BARGI  HPS</t>
  </si>
  <si>
    <t>GANDHI SAGAR  HPS</t>
  </si>
  <si>
    <t>SANJAY GANDHI HPS</t>
  </si>
  <si>
    <t>PENCH  HPS</t>
  </si>
  <si>
    <t>RAJGHAT  HPS</t>
  </si>
  <si>
    <t>MSPGCL</t>
  </si>
  <si>
    <t xml:space="preserve">KHAPERKHEDA </t>
  </si>
  <si>
    <t>BHIRA</t>
  </si>
  <si>
    <t>TILLARI</t>
  </si>
  <si>
    <t>ADANI POWER LTD.</t>
  </si>
  <si>
    <t xml:space="preserve">  THERMAL-COAL </t>
  </si>
  <si>
    <t xml:space="preserve">GOA  </t>
  </si>
  <si>
    <t>GUJARAT INDUSTRIES PCL</t>
  </si>
  <si>
    <t>GUJARAT MINERAL DCL</t>
  </si>
  <si>
    <t>MUNDRA UMPP</t>
  </si>
  <si>
    <t>TROMBAY UNIT 5</t>
  </si>
  <si>
    <t>TROMBAY UNIT 7</t>
  </si>
  <si>
    <t xml:space="preserve">TROMBAY UNIT 8 </t>
  </si>
  <si>
    <t xml:space="preserve">BHIRA                      </t>
  </si>
  <si>
    <t xml:space="preserve">BHIVPURI </t>
  </si>
  <si>
    <t xml:space="preserve">KHOPOLI </t>
  </si>
  <si>
    <t>SOUTHERN REGION</t>
  </si>
  <si>
    <t>NEYVELI TPS I</t>
  </si>
  <si>
    <t>TAMIL NADU</t>
  </si>
  <si>
    <t>NEYVELI TPS- I EXPN.</t>
  </si>
  <si>
    <t>NEYVELI TPS-II</t>
  </si>
  <si>
    <t>KERALA</t>
  </si>
  <si>
    <t>RAMAGUNDEM STPS I &amp; II</t>
  </si>
  <si>
    <t>ANDHRA PRADESH</t>
  </si>
  <si>
    <t>RAMAGUNDEM STPS III</t>
  </si>
  <si>
    <t>KARNATAKA</t>
  </si>
  <si>
    <t>MADRAS  A.P.S. 1 &amp; 2</t>
  </si>
  <si>
    <t xml:space="preserve">APGENCO </t>
  </si>
  <si>
    <t xml:space="preserve">UPPER SILERU </t>
  </si>
  <si>
    <t xml:space="preserve">LOWER SILERU </t>
  </si>
  <si>
    <t>KPCL</t>
  </si>
  <si>
    <t>THERMAL-DIESEL</t>
  </si>
  <si>
    <t>KADRA  HPS</t>
  </si>
  <si>
    <t>IDAMALAYAR  HPS.</t>
  </si>
  <si>
    <t>KSEB</t>
  </si>
  <si>
    <t>IDUKKI  HPS.</t>
  </si>
  <si>
    <t>KAKKAD  HPS.</t>
  </si>
  <si>
    <t>KALLADA  HPS.</t>
  </si>
  <si>
    <t>LOWER PERIYAR  HPS.</t>
  </si>
  <si>
    <t>MALANKARA  HPS.</t>
  </si>
  <si>
    <t>PALLIVASAL  HPS.</t>
  </si>
  <si>
    <t>PANNIAR  HPS.</t>
  </si>
  <si>
    <t>SABARIGIRI  HPS.</t>
  </si>
  <si>
    <t>SENGULAM  HPS.</t>
  </si>
  <si>
    <t>SHOLAYAR  HPS.</t>
  </si>
  <si>
    <t>LAKSHADEEP</t>
  </si>
  <si>
    <t>LAKSHADWEEP</t>
  </si>
  <si>
    <t>KARAIKAL CCGPP</t>
  </si>
  <si>
    <t>PUDUCHERRY</t>
  </si>
  <si>
    <t>TN GEN. &amp; DIS. CORP. LTD.</t>
  </si>
  <si>
    <t xml:space="preserve">KOVILKALAPPAL </t>
  </si>
  <si>
    <t xml:space="preserve">VALUTHUR </t>
  </si>
  <si>
    <t xml:space="preserve">KUTTALAM </t>
  </si>
  <si>
    <t xml:space="preserve">PYKARA </t>
  </si>
  <si>
    <t xml:space="preserve">MOYAR </t>
  </si>
  <si>
    <t xml:space="preserve">MARAVAKANDY </t>
  </si>
  <si>
    <t xml:space="preserve">KUNDAH-I </t>
  </si>
  <si>
    <t>KUNDAH-II</t>
  </si>
  <si>
    <t>KUNDAH-III</t>
  </si>
  <si>
    <t>KUNDAH-IV</t>
  </si>
  <si>
    <t xml:space="preserve">KUNDAH-V </t>
  </si>
  <si>
    <t xml:space="preserve">KUNDAH-VI (PARSON VALLEY) </t>
  </si>
  <si>
    <t xml:space="preserve">METTUR DAM </t>
  </si>
  <si>
    <t>METTUR TUNNEL</t>
  </si>
  <si>
    <t xml:space="preserve">BARRIAGE-I </t>
  </si>
  <si>
    <t>BARRIAGE-II</t>
  </si>
  <si>
    <t>BARRIAGE-III</t>
  </si>
  <si>
    <t>BARRIAGE-IV</t>
  </si>
  <si>
    <t xml:space="preserve">BHAVANI SAGAR </t>
  </si>
  <si>
    <t xml:space="preserve">POONACHI </t>
  </si>
  <si>
    <t xml:space="preserve">SATHANOOR </t>
  </si>
  <si>
    <t xml:space="preserve">MUKURTHY </t>
  </si>
  <si>
    <t xml:space="preserve">PERIYAR </t>
  </si>
  <si>
    <t xml:space="preserve">VAIGAI </t>
  </si>
  <si>
    <t xml:space="preserve">SURULIYAR </t>
  </si>
  <si>
    <t xml:space="preserve">PAPANASAM </t>
  </si>
  <si>
    <t xml:space="preserve">SERVALAR </t>
  </si>
  <si>
    <t xml:space="preserve">SARKARPATHY </t>
  </si>
  <si>
    <t xml:space="preserve">ALIYAR </t>
  </si>
  <si>
    <t xml:space="preserve">KADAMPARAI </t>
  </si>
  <si>
    <t xml:space="preserve">SHOLAYAR-I </t>
  </si>
  <si>
    <t xml:space="preserve">SHOLAYAR-II </t>
  </si>
  <si>
    <t xml:space="preserve">KODAYAR-I </t>
  </si>
  <si>
    <t xml:space="preserve">KODAYAR-II  </t>
  </si>
  <si>
    <t xml:space="preserve">ALIYAR MINI   </t>
  </si>
  <si>
    <t xml:space="preserve">PYKARA ULTIMATE </t>
  </si>
  <si>
    <t xml:space="preserve">AMARAVATHY </t>
  </si>
  <si>
    <t>EASTERN REGION</t>
  </si>
  <si>
    <t>JHARKHAND</t>
  </si>
  <si>
    <t>WEST BENGAL</t>
  </si>
  <si>
    <t>PANCHET  HPS.</t>
  </si>
  <si>
    <t>RANGIT HPS</t>
  </si>
  <si>
    <t>SIKKIM</t>
  </si>
  <si>
    <t>TEESTA V HPS</t>
  </si>
  <si>
    <t>FARAKKA STPS I &amp; II</t>
  </si>
  <si>
    <t>FARAKKA STPS III</t>
  </si>
  <si>
    <t>BIHAR</t>
  </si>
  <si>
    <t>TALCHER TPS</t>
  </si>
  <si>
    <t xml:space="preserve">TALCHER KANIHA I </t>
  </si>
  <si>
    <t xml:space="preserve">TALCHER KANIHA II </t>
  </si>
  <si>
    <t>BALIMELA  HPS.</t>
  </si>
  <si>
    <t>ODISHA HPCL</t>
  </si>
  <si>
    <t>ODISHA</t>
  </si>
  <si>
    <t>HIRAKUD HEP</t>
  </si>
  <si>
    <t>CHIPLIMA HEP</t>
  </si>
  <si>
    <t>RENGALI  HPS.</t>
  </si>
  <si>
    <t>UPPER  INDRAVATI  HPS.</t>
  </si>
  <si>
    <t>UPPER KOLAB  HPS.</t>
  </si>
  <si>
    <t>ODISHA PGCL.</t>
  </si>
  <si>
    <t xml:space="preserve">JHARKHAND </t>
  </si>
  <si>
    <t>DURGAPUR PROJECTS LIMITED</t>
  </si>
  <si>
    <t xml:space="preserve">DPL </t>
  </si>
  <si>
    <t xml:space="preserve">KOLAGHAT THERMAL POWER STATION  </t>
  </si>
  <si>
    <t>WEST BENGAL PDCL</t>
  </si>
  <si>
    <t xml:space="preserve">BAKRESHWAR THERMAL POWER PLANT </t>
  </si>
  <si>
    <t xml:space="preserve">SANTHALDIH THERMAL POWER STATION </t>
  </si>
  <si>
    <t xml:space="preserve">SAGARDIGHI THERMAL POWER PROJECT </t>
  </si>
  <si>
    <t xml:space="preserve">JALDHAKA H E P </t>
  </si>
  <si>
    <t xml:space="preserve">WEST BENGAL SEDCL </t>
  </si>
  <si>
    <t xml:space="preserve">RAMAM H E P </t>
  </si>
  <si>
    <t xml:space="preserve">TEESTA CANAL FALLS </t>
  </si>
  <si>
    <t xml:space="preserve">PURULIA PUMPED STORAGE PROJECT </t>
  </si>
  <si>
    <t>DISHERGARH POWER STATION</t>
  </si>
  <si>
    <t>JOJOBERA UNIT 1</t>
  </si>
  <si>
    <t>JOJOBERA UNIT 2</t>
  </si>
  <si>
    <t>HALDIA  UNIT 1</t>
  </si>
  <si>
    <t xml:space="preserve">THERMAL-WHR </t>
  </si>
  <si>
    <t>HALDIA  UNIT 2</t>
  </si>
  <si>
    <t>HALDIA  UNIT 3</t>
  </si>
  <si>
    <t>NORTH EASTERN REGION</t>
  </si>
  <si>
    <t>LOKTAK  HPS.</t>
  </si>
  <si>
    <t>MANIPUR</t>
  </si>
  <si>
    <t>TRIPURA</t>
  </si>
  <si>
    <t>ASSAM</t>
  </si>
  <si>
    <t>NAGALAND</t>
  </si>
  <si>
    <t>KARBI LANGPI  HPS.</t>
  </si>
  <si>
    <t>ASSAM POWER GENCO</t>
  </si>
  <si>
    <t xml:space="preserve">NAMRUP TPS </t>
  </si>
  <si>
    <t>GOVT. OF NAGALAND</t>
  </si>
  <si>
    <t xml:space="preserve">  MEGHALAYA </t>
  </si>
  <si>
    <t>UMIAM ST. II</t>
  </si>
  <si>
    <t>UMIAM ST. III</t>
  </si>
  <si>
    <t>UMIAM ST. IV</t>
  </si>
  <si>
    <t xml:space="preserve">SONAPANI  </t>
  </si>
  <si>
    <t xml:space="preserve"> MIZORAM  </t>
  </si>
  <si>
    <t xml:space="preserve">TUIPUI </t>
  </si>
  <si>
    <t>MAICHARM -I</t>
  </si>
  <si>
    <t xml:space="preserve">KAU TLABUNG </t>
  </si>
  <si>
    <t>BARAMURA GT</t>
  </si>
  <si>
    <t>GUMTI  HPS.</t>
  </si>
  <si>
    <t>All India Annual Per Capita Consumption of Electricity since 2006</t>
  </si>
  <si>
    <t xml:space="preserve">       </t>
  </si>
  <si>
    <t>Growth of Transmission Sector since 6th Plan</t>
  </si>
  <si>
    <t>+/- 500 KV HVDC</t>
  </si>
  <si>
    <t>Voltage Level</t>
  </si>
  <si>
    <t>Total Number of Villages</t>
  </si>
  <si>
    <t>2011-12</t>
  </si>
  <si>
    <t xml:space="preserve">2006-07 </t>
  </si>
  <si>
    <t>11th Plan</t>
  </si>
  <si>
    <t>Region</t>
  </si>
  <si>
    <t>Grand Total</t>
  </si>
  <si>
    <t>Sector</t>
  </si>
  <si>
    <t>Thermal</t>
  </si>
  <si>
    <t>Total</t>
  </si>
  <si>
    <t>Hydro</t>
  </si>
  <si>
    <t>Coal</t>
  </si>
  <si>
    <t>Gas</t>
  </si>
  <si>
    <t>Diesel</t>
  </si>
  <si>
    <t>Nuclear</t>
  </si>
  <si>
    <t>Northern</t>
  </si>
  <si>
    <t>State</t>
  </si>
  <si>
    <t>Private</t>
  </si>
  <si>
    <t>Central</t>
  </si>
  <si>
    <t>Western</t>
  </si>
  <si>
    <t>Southern</t>
  </si>
  <si>
    <t>Eastern</t>
  </si>
  <si>
    <t>Islands</t>
  </si>
  <si>
    <t>ALL INDIA</t>
  </si>
  <si>
    <t>Targets</t>
  </si>
  <si>
    <t>220 KV</t>
  </si>
  <si>
    <t>400 KV</t>
  </si>
  <si>
    <t>765 KV</t>
  </si>
  <si>
    <t>T&amp;D Losses</t>
  </si>
  <si>
    <t xml:space="preserve"> </t>
  </si>
  <si>
    <t>Energy (MU)</t>
  </si>
  <si>
    <t>(MW)</t>
  </si>
  <si>
    <t xml:space="preserve">Northern </t>
  </si>
  <si>
    <t xml:space="preserve">Western </t>
  </si>
  <si>
    <t xml:space="preserve">Eastern </t>
  </si>
  <si>
    <t xml:space="preserve">North Eastern </t>
  </si>
  <si>
    <t>All India</t>
  </si>
  <si>
    <t>Year</t>
  </si>
  <si>
    <t>cost of supply (paise/unit)</t>
  </si>
  <si>
    <t>Realization(paise/unit)</t>
  </si>
  <si>
    <t>Including Agriculture</t>
  </si>
  <si>
    <t>Only Agriculture</t>
  </si>
  <si>
    <t>2010-11</t>
  </si>
  <si>
    <t>Source:-  PFC Reports on the performance of State Power Utilities</t>
  </si>
  <si>
    <t>Schemes</t>
  </si>
  <si>
    <t>Target</t>
  </si>
  <si>
    <t>2013-14</t>
  </si>
  <si>
    <t>Achievement</t>
  </si>
  <si>
    <t>(+) / (-)</t>
  </si>
  <si>
    <t>Programme</t>
  </si>
  <si>
    <t>RES</t>
  </si>
  <si>
    <t>Central Sector</t>
  </si>
  <si>
    <t>State Sector</t>
  </si>
  <si>
    <t>JV/Private Sector</t>
  </si>
  <si>
    <t>765 kV</t>
  </si>
  <si>
    <t>400 kV</t>
  </si>
  <si>
    <t>01.04.10 to 31.03.11</t>
  </si>
  <si>
    <t>RRVUNL</t>
  </si>
  <si>
    <t>Growth of Installed Capacity since 6th Plan</t>
  </si>
  <si>
    <t>Growth of Rural Electrification &amp; Pump Sets Energisation</t>
  </si>
  <si>
    <t>Installed Capacity in various Regions including their shares.</t>
  </si>
  <si>
    <t>10th Plan</t>
  </si>
  <si>
    <t>01.04.07 to 31.03.08</t>
  </si>
  <si>
    <t>01.04.08 to 31.03.09</t>
  </si>
  <si>
    <t>PPCL</t>
  </si>
  <si>
    <t>North-East</t>
  </si>
  <si>
    <t>GSECL</t>
  </si>
  <si>
    <t>Achievement*</t>
  </si>
  <si>
    <t>% Ach.</t>
  </si>
  <si>
    <t>Pvt.IPP Sector</t>
  </si>
  <si>
    <t>Pvt.UTL Sector</t>
  </si>
  <si>
    <t>Pvt. Sector</t>
  </si>
  <si>
    <t>* Provisional based on actual-cum-Assesment</t>
  </si>
  <si>
    <t>2012-13</t>
  </si>
  <si>
    <t>Utrakhand</t>
  </si>
  <si>
    <t>Odisha</t>
  </si>
  <si>
    <t>A&amp;N Island</t>
  </si>
  <si>
    <t>STATE SECTOR</t>
  </si>
  <si>
    <t>MPPGCL</t>
  </si>
  <si>
    <t>NA</t>
  </si>
  <si>
    <t>A village would be declared Electrified if</t>
  </si>
  <si>
    <t>Note: From the year 2004-05 onwards Definition of Village Electrification:-</t>
  </si>
  <si>
    <t xml:space="preserve">13. Average cost of Power &amp; Average Realisation </t>
  </si>
  <si>
    <t>Average cost of Power &amp; Average Realisation</t>
  </si>
  <si>
    <t>Section D - Sub Stations</t>
  </si>
  <si>
    <t>Section E - Electricity Generation</t>
  </si>
  <si>
    <t>Type</t>
  </si>
  <si>
    <t>West Bengal</t>
  </si>
  <si>
    <t>J&amp;K</t>
  </si>
  <si>
    <t>HP</t>
  </si>
  <si>
    <t>Delhi</t>
  </si>
  <si>
    <t>MP</t>
  </si>
  <si>
    <t>Rajasthan</t>
  </si>
  <si>
    <t>Sikkim</t>
  </si>
  <si>
    <t>Maharashtra</t>
  </si>
  <si>
    <t>Punjab</t>
  </si>
  <si>
    <t>Tripura</t>
  </si>
  <si>
    <t>Gujarat</t>
  </si>
  <si>
    <t>Requirement</t>
  </si>
  <si>
    <t>( MU )</t>
  </si>
  <si>
    <t>Peak Demand</t>
  </si>
  <si>
    <t>( MW )</t>
  </si>
  <si>
    <t>Bihar</t>
  </si>
  <si>
    <t>UP</t>
  </si>
  <si>
    <t>AP</t>
  </si>
  <si>
    <t>Haryana</t>
  </si>
  <si>
    <t>Chandigarh</t>
  </si>
  <si>
    <t>Goa</t>
  </si>
  <si>
    <t>Daman &amp; Diu</t>
  </si>
  <si>
    <t>Karnataka</t>
  </si>
  <si>
    <t>Kerala</t>
  </si>
  <si>
    <t>Tamil Nadu</t>
  </si>
  <si>
    <t>Puducherry</t>
  </si>
  <si>
    <t>Month</t>
  </si>
  <si>
    <t>Jharkhand</t>
  </si>
  <si>
    <t>Assam</t>
  </si>
  <si>
    <t>Arunachal</t>
  </si>
  <si>
    <t>Meghalaya</t>
  </si>
  <si>
    <t>Manipur</t>
  </si>
  <si>
    <t>Nagaland</t>
  </si>
  <si>
    <t>Mizoram</t>
  </si>
  <si>
    <t>Availability</t>
  </si>
  <si>
    <t>Peak Met</t>
  </si>
  <si>
    <t>No Restrictions</t>
  </si>
  <si>
    <t>No restriction</t>
  </si>
  <si>
    <t>Madhya Pradesh</t>
  </si>
  <si>
    <t>Chhattisgarh</t>
  </si>
  <si>
    <t>Telangana</t>
  </si>
  <si>
    <t>NLC</t>
  </si>
  <si>
    <t>Arunachal Pradesh</t>
  </si>
  <si>
    <t>+/- 800 KV HVDC</t>
  </si>
  <si>
    <t xml:space="preserve">Total  =  </t>
  </si>
  <si>
    <t xml:space="preserve">        Section A - Highlights of Power Sector</t>
  </si>
  <si>
    <t>Andhra Pradesh</t>
  </si>
  <si>
    <t>DADRI  COAL- I (NCTPP)</t>
  </si>
  <si>
    <t>DADRI COAL - II (NCTPP)</t>
  </si>
  <si>
    <t>KHARA  HEP</t>
  </si>
  <si>
    <t>MATATILLA  HEP</t>
  </si>
  <si>
    <t>OBRA  HEP</t>
  </si>
  <si>
    <t xml:space="preserve">ALLAIN DUHANGAN HEP </t>
  </si>
  <si>
    <t>AD HYDRO POWER LTD.</t>
  </si>
  <si>
    <t>KORBA  I &amp; II</t>
  </si>
  <si>
    <t>KORBA  III</t>
  </si>
  <si>
    <t>KORBA-WEST EXTENSION TPS</t>
  </si>
  <si>
    <t>HASDEO TPS KORBA WEST</t>
  </si>
  <si>
    <t>UKAI TPS 6</t>
  </si>
  <si>
    <t xml:space="preserve">TONS HYDRO POWER STATION </t>
  </si>
  <si>
    <t xml:space="preserve">BANSAGAR-II </t>
  </si>
  <si>
    <t xml:space="preserve">BANSAGAR- III  </t>
  </si>
  <si>
    <t>JHINNA HPS</t>
  </si>
  <si>
    <t xml:space="preserve">AMARKANTAK PH III </t>
  </si>
  <si>
    <t xml:space="preserve">SANJAY GANDHI TPH/SGTPS PH-III </t>
  </si>
  <si>
    <t>PONTEMOL DIV. -VII  CURCHOREM</t>
  </si>
  <si>
    <t>GOA SPONGE &amp; POWER</t>
  </si>
  <si>
    <t xml:space="preserve">165 MW POWER PLANT (STATION- II) </t>
  </si>
  <si>
    <t xml:space="preserve">145 MW POWER PLANT (STATION- I) </t>
  </si>
  <si>
    <t xml:space="preserve">TATA POWER COM. LTD. </t>
  </si>
  <si>
    <t xml:space="preserve">BHILAI EXPANSION POWER PLANT </t>
  </si>
  <si>
    <t>JINDAL POWER  LTD., TAMNAR</t>
  </si>
  <si>
    <t>Dr. NTTPS (VIJAYAWADA TPS)</t>
  </si>
  <si>
    <t>PENNA AHOBILAM (PABRHES))</t>
  </si>
  <si>
    <t xml:space="preserve">CHETTIPETA </t>
  </si>
  <si>
    <t xml:space="preserve">MUCHKUND </t>
  </si>
  <si>
    <t xml:space="preserve">BHAVANI RBC </t>
  </si>
  <si>
    <t xml:space="preserve">SPECTRUM PG LTD. </t>
  </si>
  <si>
    <t>MTPS STAGE - I</t>
  </si>
  <si>
    <t>KANTI BIJLEE UTPADAN N LTD</t>
  </si>
  <si>
    <t>TENUGHAT VIDYUT NIGAM LTD</t>
  </si>
  <si>
    <t xml:space="preserve">MINI MICRO </t>
  </si>
  <si>
    <t xml:space="preserve">LAKWA TPS </t>
  </si>
  <si>
    <t>KHAWIVA</t>
  </si>
  <si>
    <t>SERLUI -B</t>
  </si>
  <si>
    <t xml:space="preserve">11. T &amp; D and AT&amp;C Losses (%) </t>
  </si>
  <si>
    <r>
      <rPr>
        <b/>
        <i/>
        <sz val="11"/>
        <color indexed="60"/>
        <rFont val="Arial"/>
        <family val="2"/>
      </rPr>
      <t>* Disclaimer: The data included in monthly Progress reports of Village electrification published by CEA is provisional in nature as Indicated in all the reports. The data in the report prior to October, 2015 was Updated every month based on the information received from states/distribution utilities as and when reported but the data for all the states for a particular month was generally not made available simultaneously to reflect the countrywide picture for a particular month. Number of total villages and number of electrified villages have also be</t>
    </r>
    <r>
      <rPr>
        <b/>
        <i/>
        <sz val="10"/>
        <color indexed="60"/>
        <rFont val="Arial"/>
        <family val="2"/>
      </rPr>
      <t>en adjusted for changes observed from Census 2011 data. As such, each monthly report of Village electrification of CEA is independent of the earlier published reports</t>
    </r>
  </si>
  <si>
    <t>All India Annual Per Capita Consumption of Electricity since -2006</t>
  </si>
  <si>
    <t>1A</t>
  </si>
  <si>
    <t>1A &amp; 1B</t>
  </si>
  <si>
    <t>CHAMERA- III  HPS</t>
  </si>
  <si>
    <t>PARBATI - III  HPS</t>
  </si>
  <si>
    <t>URI  HPS -I</t>
  </si>
  <si>
    <t>THERMAL-GAS/N</t>
  </si>
  <si>
    <t>RIHAND STPS II</t>
  </si>
  <si>
    <t>RAMPUR HPS</t>
  </si>
  <si>
    <t xml:space="preserve">WYC HYDEL STATION </t>
  </si>
  <si>
    <t xml:space="preserve">RUKTI POWER HOUSE </t>
  </si>
  <si>
    <t>KILLAR</t>
  </si>
  <si>
    <t>SANJAK</t>
  </si>
  <si>
    <t>RIHAND</t>
  </si>
  <si>
    <t>MALANA  HEP</t>
  </si>
  <si>
    <t>MALANA STAGE- II  HPS</t>
  </si>
  <si>
    <t xml:space="preserve">NTPC SAIL PCPL </t>
  </si>
  <si>
    <t xml:space="preserve">GUJARAT S ENE.GEN. LTD. </t>
  </si>
  <si>
    <t>SSNPHP</t>
  </si>
  <si>
    <t xml:space="preserve">AMRAVATI TPP </t>
  </si>
  <si>
    <t>RATTANINDIA POWER LTD.</t>
  </si>
  <si>
    <t xml:space="preserve">GPPC, CCPP </t>
  </si>
  <si>
    <t>TELANGANA</t>
  </si>
  <si>
    <t xml:space="preserve">DONKARAI </t>
  </si>
  <si>
    <t xml:space="preserve">TSPGENCO </t>
  </si>
  <si>
    <t xml:space="preserve">KUTTIADI + KES+ KAES </t>
  </si>
  <si>
    <t xml:space="preserve">KUTTIADI TAIL RACE </t>
  </si>
  <si>
    <t xml:space="preserve">MALAMPUZHA </t>
  </si>
  <si>
    <t xml:space="preserve">LOWER MEENMUTTY </t>
  </si>
  <si>
    <t>PORINGALKUTHU</t>
  </si>
  <si>
    <t>PEPPARA</t>
  </si>
  <si>
    <t xml:space="preserve">POOZHITHODE </t>
  </si>
  <si>
    <t xml:space="preserve">PEECHI </t>
  </si>
  <si>
    <t xml:space="preserve">RANI-PERUNADU </t>
  </si>
  <si>
    <t xml:space="preserve">VILANGAD </t>
  </si>
  <si>
    <t>PUDDUCHERRY PCL</t>
  </si>
  <si>
    <t>METTUR (MTPS-I)</t>
  </si>
  <si>
    <t>METTUR  (MTPS-II)</t>
  </si>
  <si>
    <t xml:space="preserve">NORTH CHENNAI (NCTPS-I) </t>
  </si>
  <si>
    <t xml:space="preserve">NORTH CHENNAI (NCTPS -II) </t>
  </si>
  <si>
    <t>TUTICORIN  (TTPS)</t>
  </si>
  <si>
    <t>PYKARA MINI MICRO</t>
  </si>
  <si>
    <t xml:space="preserve">TAQA NEYVELI </t>
  </si>
  <si>
    <t>TLDP -III</t>
  </si>
  <si>
    <t xml:space="preserve">BARH-II </t>
  </si>
  <si>
    <t xml:space="preserve">CHUZACHEN HEP </t>
  </si>
  <si>
    <t>GATI INFRA. PVT. LTD.</t>
  </si>
  <si>
    <t>INDIA POWER CORPN.</t>
  </si>
  <si>
    <t>Average cost of supply(ACS) (paise/unit)</t>
  </si>
  <si>
    <t>Average Revenue Realization(paise/unit)</t>
  </si>
  <si>
    <t xml:space="preserve">Single Phase Supply </t>
  </si>
  <si>
    <t xml:space="preserve"> 6 - 12 hrs/day</t>
  </si>
  <si>
    <t xml:space="preserve">Electricity Generation (MU) Targets and Achievements for 2016-17  </t>
  </si>
  <si>
    <t>31.01.2017</t>
  </si>
  <si>
    <t>220 kV</t>
  </si>
  <si>
    <t>Uttar Pradesh</t>
  </si>
  <si>
    <t>16 hrs/day, Jyotigram Yojana 24 hrs.</t>
  </si>
  <si>
    <t>Cummulative up to end of 12th Plan</t>
  </si>
  <si>
    <t>End of 12th Plan</t>
  </si>
  <si>
    <r>
      <t>i)</t>
    </r>
    <r>
      <rPr>
        <sz val="10"/>
        <rFont val="Arial"/>
        <family val="2"/>
      </rPr>
      <t xml:space="preserve"> Basic Infrastructure such as Distribution Transformer and Distribution lines are provided in the  inhabited locality as well as Dalit Basti / hemlet where it exists. (For   electrification through Non-Conventional Energy Sources a Distribution Transformer may not be necessary)</t>
    </r>
  </si>
  <si>
    <t>2017-18</t>
  </si>
  <si>
    <t>Uttarakhand</t>
  </si>
  <si>
    <t>June</t>
  </si>
  <si>
    <t>% Growth</t>
  </si>
  <si>
    <t>Generation from Conventional Sources</t>
  </si>
  <si>
    <t>Generation from Renewable Sources</t>
  </si>
  <si>
    <t>Growth in Conventional  Generation</t>
  </si>
  <si>
    <t>Growth in Renewable Generation</t>
  </si>
  <si>
    <t>Growth in Total Generation</t>
  </si>
  <si>
    <t>(%)</t>
  </si>
  <si>
    <t>1B</t>
  </si>
  <si>
    <t>For the Month of</t>
  </si>
  <si>
    <t xml:space="preserve">Wind </t>
  </si>
  <si>
    <t>Biomass</t>
  </si>
  <si>
    <t>Bagasse</t>
  </si>
  <si>
    <t>Small Hydro</t>
  </si>
  <si>
    <t>Others</t>
  </si>
  <si>
    <t xml:space="preserve">Dadar Nagar     </t>
  </si>
  <si>
    <t>Sep</t>
  </si>
  <si>
    <t>TANAKPUR  HPS</t>
  </si>
  <si>
    <t>URI  HPS - II</t>
  </si>
  <si>
    <t>NEYVELI LIG. CORP. LTD.</t>
  </si>
  <si>
    <t xml:space="preserve">GUMMA </t>
  </si>
  <si>
    <t xml:space="preserve">IGO MERCHELLONG </t>
  </si>
  <si>
    <t xml:space="preserve">SURATGARH TPS </t>
  </si>
  <si>
    <t>MINI MICRO HYDEL (MMH) P S</t>
  </si>
  <si>
    <t>VINDHYACHAL STPS    V</t>
  </si>
  <si>
    <t>RATNAGIRI GAS &amp; POWER PVT. LTD.</t>
  </si>
  <si>
    <t>RGPPL</t>
  </si>
  <si>
    <t>GSPC PIPAVAV PCL</t>
  </si>
  <si>
    <t>AKRIMOTA T P S</t>
  </si>
  <si>
    <t xml:space="preserve">DSPM TPS KORBA EAST </t>
  </si>
  <si>
    <t xml:space="preserve">CO-GEN KAWARDHA </t>
  </si>
  <si>
    <t>SIKKA TPS 3-4</t>
  </si>
  <si>
    <t>SANJAY GANDHI TPH/SGTPS PH-I&amp;II</t>
  </si>
  <si>
    <t xml:space="preserve">SSP-CANAL HEAD POWER HOUSE </t>
  </si>
  <si>
    <t xml:space="preserve">JP BINA TPP </t>
  </si>
  <si>
    <t xml:space="preserve">JP POWER VENTURES LTD </t>
  </si>
  <si>
    <t xml:space="preserve">LANCO AMARKAN. POWER LTD. </t>
  </si>
  <si>
    <t xml:space="preserve">JINDAL POWER LTD. STPPS-I </t>
  </si>
  <si>
    <t xml:space="preserve">JINDAL POWER LTD. STPPS-Ii </t>
  </si>
  <si>
    <t xml:space="preserve">DODSON LINDBLOM HYDRO   </t>
  </si>
  <si>
    <t>NEYVELI TPS-II EXPN</t>
  </si>
  <si>
    <t xml:space="preserve">MINICOY </t>
  </si>
  <si>
    <t xml:space="preserve">KAVARATTI </t>
  </si>
  <si>
    <t xml:space="preserve">AMINI  </t>
  </si>
  <si>
    <t xml:space="preserve">ANDROTT  </t>
  </si>
  <si>
    <t xml:space="preserve">KALPENI  </t>
  </si>
  <si>
    <t xml:space="preserve">KADMAT </t>
  </si>
  <si>
    <t xml:space="preserve">KILTAN  </t>
  </si>
  <si>
    <t xml:space="preserve">CHETLET </t>
  </si>
  <si>
    <t xml:space="preserve">BITRA  </t>
  </si>
  <si>
    <t xml:space="preserve">BANGARAM  </t>
  </si>
  <si>
    <t xml:space="preserve">RAYALASEEMA T P P-I  </t>
  </si>
  <si>
    <t xml:space="preserve">RAYALASEEMA T P P-II  </t>
  </si>
  <si>
    <t xml:space="preserve">RAYALASEEMA T P P-III  </t>
  </si>
  <si>
    <t>TUNGABHADRA HES &amp; HAMPI(AP Share)</t>
  </si>
  <si>
    <t>KOTHAGUDEM T P  S (KTPS-V)</t>
  </si>
  <si>
    <t>KOTHAGUDEM T P S (KTPS-VI)</t>
  </si>
  <si>
    <t>KAKATHIYA  TPP (KTPP)-I</t>
  </si>
  <si>
    <t>KAKATHIYA  TPP (KTPP)-II</t>
  </si>
  <si>
    <t>BBPH</t>
  </si>
  <si>
    <t>MEENAKSHI ENERGY LTD. PH-I</t>
  </si>
  <si>
    <t xml:space="preserve">MEENAKSHI ENERGY PVT. LTD. </t>
  </si>
  <si>
    <t xml:space="preserve">TENUGHAT TPS </t>
  </si>
  <si>
    <t>MLHEP</t>
  </si>
  <si>
    <t>MAICHARM -II</t>
  </si>
  <si>
    <t xml:space="preserve">LAMSIAL </t>
  </si>
  <si>
    <t>ROKHIA GAS TP</t>
  </si>
  <si>
    <t xml:space="preserve">      LIG: Lignite; N: Naptha; WHR: Waste Heat Recovery</t>
  </si>
  <si>
    <t xml:space="preserve">Jan </t>
  </si>
  <si>
    <t>Feb</t>
  </si>
  <si>
    <t>March</t>
  </si>
  <si>
    <t>April</t>
  </si>
  <si>
    <t>May</t>
  </si>
  <si>
    <t xml:space="preserve">Aug </t>
  </si>
  <si>
    <t>596556*</t>
  </si>
  <si>
    <t>दादर व नगर हवेली  / Dadra &amp; Nagar Haveli</t>
  </si>
  <si>
    <t>(May 14 D.F.)</t>
  </si>
  <si>
    <t xml:space="preserve">On 31 May,2018,  gujrat state generating plantsUkai and Banaguri  had been out. Even some units of CGPL and APL also had been out . Gujrat tried to purchase power from exchange but it doesnot fulfill his desires, finally load shedding has been done.    </t>
  </si>
  <si>
    <t>DF=</t>
  </si>
  <si>
    <t>Current Month</t>
  </si>
  <si>
    <t>(FRP/Non FRP Feeders) : 24.00 hrs/day</t>
  </si>
  <si>
    <t>23:35 hrs/day</t>
  </si>
  <si>
    <t>छत्तीसगढ़ / Chhattisgarh</t>
  </si>
  <si>
    <t>23:36 hrs/day</t>
  </si>
  <si>
    <t>20:51 hrs/day</t>
  </si>
  <si>
    <t>Domestic Supply - 23:05 hrs /day</t>
  </si>
  <si>
    <t>2016-17</t>
  </si>
  <si>
    <t>Sr.No</t>
  </si>
  <si>
    <t>Sl.No.</t>
  </si>
  <si>
    <t xml:space="preserve">Source-Wise All India Generation from Renewables </t>
  </si>
  <si>
    <t xml:space="preserve">Cummulative for the period </t>
  </si>
  <si>
    <t xml:space="preserve">Solar </t>
  </si>
  <si>
    <t>Total :</t>
  </si>
  <si>
    <t>Generation from Renewable Sources*</t>
  </si>
  <si>
    <t>Note:  *  Tentative</t>
  </si>
  <si>
    <t>Generation from Conventional Sources*</t>
  </si>
  <si>
    <t xml:space="preserve">Total* </t>
  </si>
  <si>
    <t xml:space="preserve">Electricity Generation (MU) Targets and Achievements for 2016-17 </t>
  </si>
  <si>
    <t>July</t>
  </si>
  <si>
    <t xml:space="preserve">भारत सरकार </t>
  </si>
  <si>
    <t>Government of India</t>
  </si>
  <si>
    <t>विद्युत मंत्रालय</t>
  </si>
  <si>
    <t xml:space="preserve"> केन्द्रीय विद्युत प्राधिकरण </t>
  </si>
  <si>
    <t>Executive Summary on Power Sector</t>
  </si>
  <si>
    <t>Lakshadweep</t>
  </si>
  <si>
    <t>(BU)</t>
  </si>
  <si>
    <t>ANTA CCPP</t>
  </si>
  <si>
    <t>20(1)</t>
  </si>
  <si>
    <t>20(2)</t>
  </si>
  <si>
    <t>21(1)</t>
  </si>
  <si>
    <t>21(2)</t>
  </si>
  <si>
    <t>S.No.</t>
  </si>
  <si>
    <t>चंडीगढ़/ Chandigarh</t>
  </si>
  <si>
    <t>हरियाणा / Haryana</t>
  </si>
  <si>
    <t>उत्तर प्रदेश / Uttar Pradesh</t>
  </si>
  <si>
    <t>उत्तराखंड / Uttarakhand</t>
  </si>
  <si>
    <t xml:space="preserve">उत्तरी क्षेत्र / Northern Region </t>
  </si>
  <si>
    <r>
      <t xml:space="preserve">  </t>
    </r>
    <r>
      <rPr>
        <b/>
        <sz val="18"/>
        <rFont val="Arial"/>
        <family val="2"/>
      </rPr>
      <t xml:space="preserve"> All India Generation From Renewables                                   (All Figures are in MU)</t>
    </r>
  </si>
  <si>
    <t>Ach</t>
  </si>
  <si>
    <t>Ach.</t>
  </si>
  <si>
    <t>HYDRO</t>
  </si>
  <si>
    <t>NUCLEAR</t>
  </si>
  <si>
    <t>0 </t>
  </si>
  <si>
    <t>RES**</t>
  </si>
  <si>
    <t xml:space="preserve"> Villiages Electrified (Nos.) </t>
  </si>
  <si>
    <t>All villages as per census 2011 has been electrified on 28.04.2018</t>
  </si>
  <si>
    <t xml:space="preserve">12. All India Village Electrification </t>
  </si>
  <si>
    <t xml:space="preserve">All India Village Electrification </t>
  </si>
  <si>
    <t>14. All India Coal consumption for Power Generation (MT)</t>
  </si>
  <si>
    <t>All India PLF of Thermal Plants (Excluding Gas Based Plants) Month-wise</t>
  </si>
  <si>
    <r>
      <t xml:space="preserve">1. </t>
    </r>
    <r>
      <rPr>
        <b/>
        <u/>
        <sz val="12"/>
        <rFont val="Arial"/>
        <family val="2"/>
      </rPr>
      <t xml:space="preserve">TRANSMISSION LINES </t>
    </r>
  </si>
  <si>
    <t>(All fig. in CKM)</t>
  </si>
  <si>
    <t>At the end of</t>
  </si>
  <si>
    <t>± 800 kV HVDC</t>
  </si>
  <si>
    <t>± 500 kV HVDC</t>
  </si>
  <si>
    <t>JV/Private</t>
  </si>
  <si>
    <t>6th plan</t>
  </si>
  <si>
    <t>7th plan</t>
  </si>
  <si>
    <t>8th plan</t>
  </si>
  <si>
    <t>9th plan</t>
  </si>
  <si>
    <t>10th plan</t>
  </si>
  <si>
    <t xml:space="preserve">11th Plan </t>
  </si>
  <si>
    <t xml:space="preserve">12th Plan </t>
  </si>
  <si>
    <t>IR at the end of 11th Plan</t>
  </si>
  <si>
    <t>IR at the end of 12th Plan</t>
  </si>
  <si>
    <t>(All figures in circuit kms.)</t>
  </si>
  <si>
    <t>Programme /
  Achievement</t>
  </si>
  <si>
    <r>
      <t>±</t>
    </r>
    <r>
      <rPr>
        <b/>
        <sz val="11"/>
        <rFont val="Arial"/>
        <family val="2"/>
      </rPr>
      <t xml:space="preserve"> 800 kV </t>
    </r>
  </si>
  <si>
    <r>
      <t>±</t>
    </r>
    <r>
      <rPr>
        <b/>
        <sz val="11"/>
        <rFont val="Arial"/>
        <family val="2"/>
      </rPr>
      <t xml:space="preserve"> 500 kV</t>
    </r>
  </si>
  <si>
    <t>(All figures in circuit MVA)</t>
  </si>
  <si>
    <t>(All Figures in MW)</t>
  </si>
  <si>
    <t>% Achievement of Target</t>
  </si>
  <si>
    <t>B. TRANSMISSION LINES ADDED</t>
  </si>
  <si>
    <t>(All Figures in cKM)</t>
  </si>
  <si>
    <t xml:space="preserve">C.  GENERATION PERFORMANCE </t>
  </si>
  <si>
    <t>% PLF of Coal/Lignite Power Plants</t>
  </si>
  <si>
    <t xml:space="preserve"> F. COAL SUPPLY POSITION</t>
  </si>
  <si>
    <t xml:space="preserve">      (Figures in Thousand Tonnes)</t>
  </si>
  <si>
    <t>Opening stock (Days)</t>
  </si>
  <si>
    <t>Required</t>
  </si>
  <si>
    <t>Receipt</t>
  </si>
  <si>
    <t xml:space="preserve">Consumption </t>
  </si>
  <si>
    <t>Closing Stock (Days)</t>
  </si>
  <si>
    <t>No. of critical Stations (stock &lt; 7days)</t>
  </si>
  <si>
    <t>NOTE</t>
  </si>
  <si>
    <t xml:space="preserve">      Figures given above include imported coal</t>
  </si>
  <si>
    <t xml:space="preserve">      *Provisional based on actual-cum-assessment</t>
  </si>
  <si>
    <t>(All Figures in BU)</t>
  </si>
  <si>
    <t xml:space="preserve">ACHIEVEMENT </t>
  </si>
  <si>
    <t xml:space="preserve">TARGETS </t>
  </si>
  <si>
    <t>ACHIEVEMENT</t>
  </si>
  <si>
    <t>Progress of Transmission Sector since 6th Plan</t>
  </si>
  <si>
    <t xml:space="preserve">        Surplus (+)              /Deficit (-) in %</t>
  </si>
  <si>
    <t xml:space="preserve">           Surplus(+)           / Deficit (-) in %</t>
  </si>
  <si>
    <t xml:space="preserve">   Surplus(+)            /Deficit (-) in %</t>
  </si>
  <si>
    <t xml:space="preserve">HARYANA </t>
  </si>
  <si>
    <t xml:space="preserve">DCRTPP (UNIT 1 TO 2) , Y. NAGAR </t>
  </si>
  <si>
    <t>RGTPP (UNIT 1TO 2), KHEDAR, HISSAR</t>
  </si>
  <si>
    <t xml:space="preserve">BHABA POWER HOUSE/SANJAY P HOUSE </t>
  </si>
  <si>
    <t xml:space="preserve">BS CHAMBA </t>
  </si>
  <si>
    <t xml:space="preserve">BHADERWAH </t>
  </si>
  <si>
    <t xml:space="preserve">BAZGO </t>
  </si>
  <si>
    <t xml:space="preserve">SUMOOR </t>
  </si>
  <si>
    <t xml:space="preserve">HUNDER </t>
  </si>
  <si>
    <t xml:space="preserve">ANPARA D </t>
  </si>
  <si>
    <t>SHRINAGAR HEP</t>
  </si>
  <si>
    <t>ALAKNANDA HPCL</t>
  </si>
  <si>
    <t xml:space="preserve">GAMA INFRAPROP PVT. </t>
  </si>
  <si>
    <t xml:space="preserve">KASHANG HEP </t>
  </si>
  <si>
    <t>RAJPURA TPS</t>
  </si>
  <si>
    <t>NABHA POWER LTD.</t>
  </si>
  <si>
    <t>LALITPUR PGCL</t>
  </si>
  <si>
    <t>PRAYAGRAJ PGCL</t>
  </si>
  <si>
    <t xml:space="preserve">GSEG-HAZIRA,156.10 MW </t>
  </si>
  <si>
    <t xml:space="preserve">GSEG-HAZIRA,351.43 MW </t>
  </si>
  <si>
    <t xml:space="preserve">MHP KORBA WEST </t>
  </si>
  <si>
    <t xml:space="preserve">KOYANA  </t>
  </si>
  <si>
    <t xml:space="preserve">MB POWER </t>
  </si>
  <si>
    <t xml:space="preserve">ESSAR POWER MP LTD </t>
  </si>
  <si>
    <t xml:space="preserve">VEDANTA LTD. (P. P. -I) </t>
  </si>
  <si>
    <t xml:space="preserve">VEDANTA LTD. (P. P. -II) </t>
  </si>
  <si>
    <t>LANCO AMARKANTAK TPP PATHADIH, U-I</t>
  </si>
  <si>
    <t>LANCO AMARKANTAK TPP PATHADIH, U-II</t>
  </si>
  <si>
    <t>NEYVELI TAMILNADU POWER LTD., JV</t>
  </si>
  <si>
    <t>VALLUR TPS</t>
  </si>
  <si>
    <t>KKNPP-1 &amp; 2</t>
  </si>
  <si>
    <t>Dr. NTTPS - IV  (VIJAYAWADA TPS - 4)</t>
  </si>
  <si>
    <t>NAGARJUNASAGAR RCPH</t>
  </si>
  <si>
    <t>RAICHUR TPS 1 to 7</t>
  </si>
  <si>
    <t>RAICHUR TPS 8</t>
  </si>
  <si>
    <t xml:space="preserve">BELLARI TPS 1 </t>
  </si>
  <si>
    <t>BELLARI TPS 2</t>
  </si>
  <si>
    <t>BHADRA PH</t>
  </si>
  <si>
    <t>GHAT PRABHA  HEP</t>
  </si>
  <si>
    <t>KODASALLI  DPH</t>
  </si>
  <si>
    <t xml:space="preserve">ALMATTI DPH </t>
  </si>
  <si>
    <t>VARAHI UGPH</t>
  </si>
  <si>
    <t xml:space="preserve">MATTUPETTY </t>
  </si>
  <si>
    <t>BARAPOLE</t>
  </si>
  <si>
    <t>VELLATHOOVAL</t>
  </si>
  <si>
    <t>ADYANPARA</t>
  </si>
  <si>
    <t xml:space="preserve">THIRUMOORTHY </t>
  </si>
  <si>
    <t>BHAVANI KATTALAI (BKB)(I,II&amp;III, BB I &amp; II)</t>
  </si>
  <si>
    <t>PERUNCHANI</t>
  </si>
  <si>
    <t xml:space="preserve">STATE SECTOR </t>
  </si>
  <si>
    <t>APPDCL</t>
  </si>
  <si>
    <t xml:space="preserve">HINDUJA NATIONAL PCL </t>
  </si>
  <si>
    <t xml:space="preserve">TAQA NEYVELI POWER COM. PVT. LTD. </t>
  </si>
  <si>
    <t xml:space="preserve">IL&amp;FS TN P COM. LTD. </t>
  </si>
  <si>
    <t>MTPS STAGE - II</t>
  </si>
  <si>
    <t>DURGAPUR STEEL TPS</t>
  </si>
  <si>
    <t>DURGAPUR TPS</t>
  </si>
  <si>
    <t>RAGHUNATHPUR TPS</t>
  </si>
  <si>
    <t>MAITHON HYDEL STA.</t>
  </si>
  <si>
    <t>KODERMA TPS</t>
  </si>
  <si>
    <t>TLDP -IV</t>
  </si>
  <si>
    <t xml:space="preserve">BONGAINGAON TPS </t>
  </si>
  <si>
    <t>IB TPS UNITS 1&amp;2</t>
  </si>
  <si>
    <t xml:space="preserve">BANDEL THERMAL POWER STATION  </t>
  </si>
  <si>
    <t xml:space="preserve">HALDIA ENERGY </t>
  </si>
  <si>
    <t>HALDIA ENERGY LTD.</t>
  </si>
  <si>
    <t>ADHUNIK POWER U-1</t>
  </si>
  <si>
    <t>ADHUNIK POWER</t>
  </si>
  <si>
    <t>ADHUNIK POWER U-2</t>
  </si>
  <si>
    <t xml:space="preserve">JOJOBERA UNIT 3 </t>
  </si>
  <si>
    <t xml:space="preserve">JOJOBERA UNIT 4 </t>
  </si>
  <si>
    <t xml:space="preserve">JOJOBERA UNIT 5 </t>
  </si>
  <si>
    <t>MAITHON UNIT 1 &amp; 2</t>
  </si>
  <si>
    <t xml:space="preserve">MYNTRIANG SHEP ST. II </t>
  </si>
  <si>
    <t>UMIAM ST. I</t>
  </si>
  <si>
    <t>*</t>
  </si>
  <si>
    <t>Oct</t>
  </si>
  <si>
    <t>Cummulative Deviation</t>
  </si>
  <si>
    <t>IR addition in 12th Plan (up to March 2017)</t>
  </si>
  <si>
    <t>NA- Not Applicable</t>
  </si>
  <si>
    <t>Lignite</t>
  </si>
  <si>
    <t>April, 2018 - October,2018</t>
  </si>
  <si>
    <t>Nov</t>
  </si>
  <si>
    <t>Private Sector IPP</t>
  </si>
  <si>
    <t>Private Sector UTL.</t>
  </si>
  <si>
    <t>Dec</t>
  </si>
  <si>
    <t xml:space="preserve">D. ALL INDIA THERMAL PLF SECTOR WISE </t>
  </si>
  <si>
    <t>% Change w.r.t Previous Year</t>
  </si>
  <si>
    <t>Target (BU)</t>
  </si>
  <si>
    <t>Achievement (%)</t>
  </si>
  <si>
    <t>Generation (BU)</t>
  </si>
  <si>
    <t>(i) Electricity Generation - Conventional Sources:</t>
  </si>
  <si>
    <r>
      <t xml:space="preserve">Generation </t>
    </r>
    <r>
      <rPr>
        <b/>
        <sz val="12"/>
        <rFont val="Calibri"/>
        <family val="2"/>
        <scheme val="minor"/>
      </rPr>
      <t>(</t>
    </r>
    <r>
      <rPr>
        <sz val="12"/>
        <rFont val="Calibri"/>
        <family val="2"/>
        <scheme val="minor"/>
      </rPr>
      <t>BU)</t>
    </r>
  </si>
  <si>
    <t>Growth (%)</t>
  </si>
  <si>
    <r>
      <t>(ii)</t>
    </r>
    <r>
      <rPr>
        <b/>
        <sz val="7"/>
        <rFont val="Calibri"/>
        <family val="2"/>
        <scheme val="minor"/>
      </rPr>
      <t xml:space="preserve">     </t>
    </r>
    <r>
      <rPr>
        <b/>
        <sz val="12"/>
        <rFont val="Calibri"/>
        <family val="2"/>
        <scheme val="minor"/>
      </rPr>
      <t xml:space="preserve">PLF - All India – Coal &amp; Lignite Based Generation- </t>
    </r>
  </si>
  <si>
    <r>
      <t>(iii)</t>
    </r>
    <r>
      <rPr>
        <b/>
        <sz val="7"/>
        <rFont val="Calibri"/>
        <family val="2"/>
        <scheme val="minor"/>
      </rPr>
      <t xml:space="preserve">     </t>
    </r>
    <r>
      <rPr>
        <b/>
        <sz val="12"/>
        <rFont val="Calibri"/>
        <family val="2"/>
        <scheme val="minor"/>
      </rPr>
      <t xml:space="preserve">Electricity Generation </t>
    </r>
    <r>
      <rPr>
        <sz val="12"/>
        <rFont val="Calibri"/>
        <family val="2"/>
        <scheme val="minor"/>
      </rPr>
      <t xml:space="preserve">– </t>
    </r>
    <r>
      <rPr>
        <b/>
        <sz val="12"/>
        <rFont val="Calibri"/>
        <family val="2"/>
        <scheme val="minor"/>
      </rPr>
      <t>Renewable Sources:</t>
    </r>
  </si>
  <si>
    <t>(C)  Electricity Generation and PLF:</t>
  </si>
  <si>
    <r>
      <t>(iv)</t>
    </r>
    <r>
      <rPr>
        <b/>
        <sz val="7"/>
        <rFont val="Calibri"/>
        <family val="2"/>
        <scheme val="minor"/>
      </rPr>
      <t xml:space="preserve">     </t>
    </r>
    <r>
      <rPr>
        <b/>
        <sz val="12"/>
        <rFont val="Calibri"/>
        <family val="2"/>
        <scheme val="minor"/>
      </rPr>
      <t>Total Electricity Generation</t>
    </r>
    <r>
      <rPr>
        <sz val="12"/>
        <rFont val="Calibri"/>
        <family val="2"/>
        <scheme val="minor"/>
      </rPr>
      <t xml:space="preserve"> – </t>
    </r>
    <r>
      <rPr>
        <b/>
        <sz val="12"/>
        <rFont val="Calibri"/>
        <family val="2"/>
        <scheme val="minor"/>
      </rPr>
      <t>Conventional and Renewable Sources</t>
    </r>
  </si>
  <si>
    <t>(D) Power Supply Position:</t>
  </si>
  <si>
    <r>
      <t>(i)</t>
    </r>
    <r>
      <rPr>
        <b/>
        <sz val="7"/>
        <rFont val="Calibri"/>
        <family val="2"/>
        <scheme val="minor"/>
      </rPr>
      <t xml:space="preserve">     </t>
    </r>
    <r>
      <rPr>
        <b/>
        <sz val="12"/>
        <rFont val="Calibri"/>
        <family val="2"/>
        <scheme val="minor"/>
      </rPr>
      <t xml:space="preserve">Peak (GW): </t>
    </r>
  </si>
  <si>
    <r>
      <t>(ii)</t>
    </r>
    <r>
      <rPr>
        <b/>
        <sz val="7"/>
        <rFont val="Calibri"/>
        <family val="2"/>
        <scheme val="minor"/>
      </rPr>
      <t xml:space="preserve">     </t>
    </r>
    <r>
      <rPr>
        <b/>
        <sz val="12"/>
        <rFont val="Calibri"/>
        <family val="2"/>
        <scheme val="minor"/>
      </rPr>
      <t>Energy (BU):</t>
    </r>
  </si>
  <si>
    <r>
      <t>(iii)</t>
    </r>
    <r>
      <rPr>
        <b/>
        <sz val="7"/>
        <rFont val="Calibri"/>
        <family val="2"/>
        <scheme val="minor"/>
      </rPr>
      <t xml:space="preserve">     </t>
    </r>
    <r>
      <rPr>
        <b/>
        <sz val="12"/>
        <rFont val="Calibri"/>
        <family val="2"/>
        <scheme val="minor"/>
      </rPr>
      <t>Gap in Peak Met and Peak Demand (in % of Peak Demand)</t>
    </r>
  </si>
  <si>
    <r>
      <t>(iv)</t>
    </r>
    <r>
      <rPr>
        <b/>
        <sz val="7"/>
        <rFont val="Calibri"/>
        <family val="2"/>
        <scheme val="minor"/>
      </rPr>
      <t xml:space="preserve">     </t>
    </r>
    <r>
      <rPr>
        <b/>
        <sz val="12"/>
        <rFont val="Calibri"/>
        <family val="2"/>
        <scheme val="minor"/>
      </rPr>
      <t>Gap in Energy Supplied and Energy Requirement (in % of Energy Requirement)</t>
    </r>
  </si>
  <si>
    <t xml:space="preserve">     प्रकाश मस्के</t>
  </si>
  <si>
    <t xml:space="preserve">    अध्यक्ष </t>
  </si>
  <si>
    <t>विद्युत मंत्रालय, श्रम शक्ति भवन,</t>
  </si>
  <si>
    <t>17-18</t>
  </si>
  <si>
    <t>18-19</t>
  </si>
  <si>
    <t>coal consumption</t>
  </si>
  <si>
    <t>Inter-regional Power Transfer Capacity (MW)</t>
  </si>
  <si>
    <t>* 600 MW of 132 kV Inter-Regional power transmission capacity links which are operated radially from time to time is not added in the total.</t>
  </si>
  <si>
    <t>अ.शा. पत्र सं. के.वि.प्रा./6/3/सीडी-2019</t>
  </si>
  <si>
    <t>Capacity Addition in current month</t>
  </si>
  <si>
    <t>अधिक</t>
  </si>
  <si>
    <t>कम</t>
  </si>
  <si>
    <t>Transmission line added</t>
  </si>
  <si>
    <t>2)</t>
  </si>
  <si>
    <t>Substaion added</t>
  </si>
  <si>
    <t>3)</t>
  </si>
  <si>
    <t>एवं</t>
  </si>
  <si>
    <t>generation growth</t>
  </si>
  <si>
    <t>4)</t>
  </si>
  <si>
    <t>RES Growth</t>
  </si>
  <si>
    <t>5)</t>
  </si>
  <si>
    <t>6)</t>
  </si>
  <si>
    <t>7)</t>
  </si>
  <si>
    <t xml:space="preserve">2. उपरोक्त उपलब्धियों से सम्बंधित विवरण संलग्न है ।   </t>
  </si>
  <si>
    <t>TEXT(A2,"[$-439]Mmm-yy")</t>
  </si>
  <si>
    <t>भवदीय,</t>
  </si>
  <si>
    <t xml:space="preserve">         </t>
  </si>
  <si>
    <t xml:space="preserve">                                                                                         </t>
  </si>
  <si>
    <t xml:space="preserve"> (प्रकाश मस्के)</t>
  </si>
  <si>
    <t>MW</t>
  </si>
  <si>
    <t>Growth</t>
  </si>
  <si>
    <t>MU</t>
  </si>
  <si>
    <t>श्री अजय कुमार भल्ला</t>
  </si>
  <si>
    <t>सचिव (विद्युत)</t>
  </si>
  <si>
    <t>नई दिल्ली – 110001</t>
  </si>
  <si>
    <r>
      <t>(A)</t>
    </r>
    <r>
      <rPr>
        <b/>
        <sz val="7"/>
        <rFont val="Calibri"/>
        <family val="2"/>
        <scheme val="minor"/>
      </rPr>
      <t xml:space="preserve"> </t>
    </r>
    <r>
      <rPr>
        <b/>
        <sz val="12"/>
        <rFont val="Calibri"/>
        <family val="2"/>
        <scheme val="minor"/>
      </rPr>
      <t>Installed Capacity Addition - Conventional Sources ( in MW) :</t>
    </r>
  </si>
  <si>
    <t>(B) Transmission Capacity Addition:</t>
  </si>
  <si>
    <r>
      <t>(i)</t>
    </r>
    <r>
      <rPr>
        <b/>
        <sz val="7"/>
        <rFont val="Times New Roman"/>
        <family val="1"/>
      </rPr>
      <t>   </t>
    </r>
    <r>
      <rPr>
        <b/>
        <sz val="12"/>
        <rFont val="Mangal"/>
        <family val="1"/>
      </rPr>
      <t xml:space="preserve">Addition in Transmission Lines ( 220 kV and Above) ( in Ckt. Km.): </t>
    </r>
  </si>
  <si>
    <r>
      <t>(ii)</t>
    </r>
    <r>
      <rPr>
        <b/>
        <sz val="7"/>
        <rFont val="Times New Roman"/>
        <family val="1"/>
      </rPr>
      <t>  </t>
    </r>
    <r>
      <rPr>
        <b/>
        <sz val="12"/>
        <rFont val="Mangal"/>
        <family val="1"/>
      </rPr>
      <t>Addition in Transformation Capacity (220 kV and Above) ( in MVA):</t>
    </r>
  </si>
  <si>
    <t>April, 2018 -  April,2018</t>
  </si>
  <si>
    <r>
      <rPr>
        <b/>
        <sz val="8"/>
        <rFont val="Arial"/>
        <family val="2"/>
      </rPr>
      <t>THERMAL</t>
    </r>
  </si>
  <si>
    <r>
      <rPr>
        <b/>
        <sz val="8"/>
        <rFont val="Arial"/>
        <family val="2"/>
      </rPr>
      <t>CENTRAL SECTOR</t>
    </r>
  </si>
  <si>
    <r>
      <rPr>
        <sz val="8"/>
        <rFont val="Arial"/>
        <family val="2"/>
      </rPr>
      <t>APCPL</t>
    </r>
  </si>
  <si>
    <r>
      <rPr>
        <sz val="8"/>
        <rFont val="Arial"/>
        <family val="2"/>
      </rPr>
      <t>BRBCL</t>
    </r>
  </si>
  <si>
    <r>
      <rPr>
        <sz val="8"/>
        <rFont val="Arial"/>
        <family val="2"/>
      </rPr>
      <t>DVC</t>
    </r>
  </si>
  <si>
    <r>
      <rPr>
        <sz val="8"/>
        <rFont val="Arial"/>
        <family val="2"/>
      </rPr>
      <t>K.B.U.N.L</t>
    </r>
  </si>
  <si>
    <r>
      <rPr>
        <sz val="8"/>
        <rFont val="Arial"/>
        <family val="2"/>
      </rPr>
      <t>MUNPL</t>
    </r>
  </si>
  <si>
    <r>
      <rPr>
        <sz val="8"/>
        <rFont val="Arial"/>
        <family val="2"/>
      </rPr>
      <t>NEEPCO.</t>
    </r>
  </si>
  <si>
    <r>
      <rPr>
        <sz val="8"/>
        <rFont val="Arial"/>
        <family val="2"/>
      </rPr>
      <t>NLC</t>
    </r>
  </si>
  <si>
    <r>
      <rPr>
        <sz val="8"/>
        <rFont val="Arial"/>
        <family val="2"/>
      </rPr>
      <t>NPGCPL</t>
    </r>
  </si>
  <si>
    <r>
      <rPr>
        <sz val="8"/>
        <rFont val="Arial"/>
        <family val="2"/>
      </rPr>
      <t>NSPCL</t>
    </r>
  </si>
  <si>
    <r>
      <rPr>
        <sz val="8"/>
        <rFont val="Arial"/>
        <family val="2"/>
      </rPr>
      <t>NTECL</t>
    </r>
  </si>
  <si>
    <r>
      <rPr>
        <sz val="8"/>
        <rFont val="Arial"/>
        <family val="2"/>
      </rPr>
      <t>NTPC Ltd.</t>
    </r>
  </si>
  <si>
    <r>
      <rPr>
        <sz val="8"/>
        <rFont val="Arial"/>
        <family val="2"/>
      </rPr>
      <t>NTPL</t>
    </r>
  </si>
  <si>
    <r>
      <rPr>
        <sz val="8"/>
        <rFont val="Arial"/>
        <family val="2"/>
      </rPr>
      <t>ONGC</t>
    </r>
  </si>
  <si>
    <r>
      <rPr>
        <sz val="8"/>
        <rFont val="Arial"/>
        <family val="2"/>
      </rPr>
      <t>RGPPL</t>
    </r>
  </si>
  <si>
    <r>
      <rPr>
        <b/>
        <sz val="8"/>
        <color rgb="FF000066"/>
        <rFont val="Arial"/>
        <family val="2"/>
      </rPr>
      <t>TOTAL  CENTRAL SEC.</t>
    </r>
  </si>
  <si>
    <r>
      <rPr>
        <b/>
        <sz val="8"/>
        <color rgb="FF000066"/>
        <rFont val="Arial"/>
        <family val="2"/>
      </rPr>
      <t>TOTAL  STATE SEC.</t>
    </r>
  </si>
  <si>
    <r>
      <rPr>
        <b/>
        <sz val="8"/>
        <color rgb="FF000066"/>
        <rFont val="Arial"/>
        <family val="2"/>
      </rPr>
      <t>TOTAL  IPP SEC.</t>
    </r>
  </si>
  <si>
    <r>
      <rPr>
        <b/>
        <sz val="8"/>
        <color rgb="FF000066"/>
        <rFont val="Arial"/>
        <family val="2"/>
      </rPr>
      <t>TOTAL  PVT. UTL. SEC.</t>
    </r>
  </si>
  <si>
    <r>
      <rPr>
        <b/>
        <sz val="8"/>
        <color rgb="FF000066"/>
        <rFont val="Arial"/>
        <family val="2"/>
      </rPr>
      <t>TOTAL  THERMAL</t>
    </r>
  </si>
  <si>
    <r>
      <rPr>
        <b/>
        <sz val="8"/>
        <rFont val="Arial"/>
        <family val="2"/>
      </rPr>
      <t>NUCLEAR</t>
    </r>
  </si>
  <si>
    <r>
      <rPr>
        <sz val="8"/>
        <rFont val="Arial"/>
        <family val="2"/>
      </rPr>
      <t>DAE</t>
    </r>
  </si>
  <si>
    <r>
      <rPr>
        <sz val="8"/>
        <rFont val="Arial"/>
        <family val="2"/>
      </rPr>
      <t>NPCIL</t>
    </r>
  </si>
  <si>
    <r>
      <rPr>
        <b/>
        <sz val="8"/>
        <color rgb="FF000066"/>
        <rFont val="Arial"/>
        <family val="2"/>
      </rPr>
      <t>TOTAL  NUCLEAR</t>
    </r>
  </si>
  <si>
    <r>
      <rPr>
        <b/>
        <sz val="8"/>
        <rFont val="Arial"/>
        <family val="2"/>
      </rPr>
      <t>HYDRO</t>
    </r>
  </si>
  <si>
    <r>
      <rPr>
        <sz val="8"/>
        <rFont val="Arial"/>
        <family val="2"/>
      </rPr>
      <t>BBMB</t>
    </r>
  </si>
  <si>
    <r>
      <rPr>
        <sz val="8"/>
        <rFont val="Arial"/>
        <family val="2"/>
      </rPr>
      <t>NHDC</t>
    </r>
  </si>
  <si>
    <r>
      <rPr>
        <sz val="8"/>
        <rFont val="Arial"/>
        <family val="2"/>
      </rPr>
      <t>NHPC</t>
    </r>
  </si>
  <si>
    <r>
      <rPr>
        <sz val="8"/>
        <rFont val="Arial"/>
        <family val="2"/>
      </rPr>
      <t>SJVNL</t>
    </r>
  </si>
  <si>
    <r>
      <rPr>
        <sz val="8"/>
        <rFont val="Arial"/>
        <family val="2"/>
      </rPr>
      <t>THDC</t>
    </r>
  </si>
  <si>
    <r>
      <rPr>
        <b/>
        <sz val="8"/>
        <color rgb="FF000066"/>
        <rFont val="Arial"/>
        <family val="2"/>
      </rPr>
      <t>TOTAL  HYDRO</t>
    </r>
  </si>
  <si>
    <r>
      <rPr>
        <b/>
        <sz val="8"/>
        <rFont val="Arial"/>
        <family val="2"/>
      </rPr>
      <t>BHUTAN IMP</t>
    </r>
  </si>
  <si>
    <r>
      <rPr>
        <b/>
        <sz val="8"/>
        <color rgb="FF000066"/>
        <rFont val="Arial"/>
        <family val="2"/>
      </rPr>
      <t>TOTAL ALL INDIA</t>
    </r>
  </si>
  <si>
    <r>
      <rPr>
        <sz val="7"/>
        <rFont val="Arial"/>
        <family val="2"/>
      </rPr>
      <t>* PROVISIONAL BASED ON ACTUAL-CUM-ASSESMENT</t>
    </r>
  </si>
  <si>
    <r>
      <t>1.</t>
    </r>
    <r>
      <rPr>
        <b/>
        <sz val="7"/>
        <rFont val="Times New Roman"/>
        <family val="1"/>
      </rPr>
      <t xml:space="preserve">      </t>
    </r>
    <r>
      <rPr>
        <b/>
        <u/>
        <sz val="12"/>
        <rFont val="Times New Roman"/>
        <family val="1"/>
      </rPr>
      <t>CAPACITY ADDITION (MW)</t>
    </r>
    <r>
      <rPr>
        <u/>
        <sz val="12"/>
        <rFont val="Times New Roman"/>
        <family val="1"/>
      </rPr>
      <t xml:space="preserve"> </t>
    </r>
  </si>
  <si>
    <t>S. No.</t>
  </si>
  <si>
    <t xml:space="preserve">        Category</t>
  </si>
  <si>
    <t>PLF (%)</t>
  </si>
  <si>
    <t>Thermal**</t>
  </si>
  <si>
    <r>
      <t xml:space="preserve">  </t>
    </r>
    <r>
      <rPr>
        <b/>
        <sz val="12"/>
        <rFont val="Times New Roman"/>
        <family val="1"/>
      </rPr>
      <t>Total</t>
    </r>
  </si>
  <si>
    <t>*PROVISIONAL BASED ON ACTUAL-CUM-ASSESSMENT</t>
  </si>
  <si>
    <r>
      <t>**</t>
    </r>
    <r>
      <rPr>
        <sz val="9"/>
        <rFont val="Times New Roman"/>
        <family val="1"/>
      </rPr>
      <t>PLF FOR THERMAL STATIONS IS FOR COAL / LIGNITE BASED STATIONS ONLY.</t>
    </r>
  </si>
  <si>
    <r>
      <t>4.</t>
    </r>
    <r>
      <rPr>
        <b/>
        <sz val="7"/>
        <rFont val="Times New Roman"/>
        <family val="1"/>
      </rPr>
      <t xml:space="preserve">      </t>
    </r>
    <r>
      <rPr>
        <b/>
        <u/>
        <sz val="12"/>
        <rFont val="Times New Roman"/>
        <family val="1"/>
      </rPr>
      <t>GRID DISTURBANCE</t>
    </r>
  </si>
  <si>
    <t>- NIL</t>
  </si>
  <si>
    <r>
      <t>5.</t>
    </r>
    <r>
      <rPr>
        <b/>
        <sz val="7"/>
        <rFont val="Times New Roman"/>
        <family val="1"/>
      </rPr>
      <t xml:space="preserve">      </t>
    </r>
    <r>
      <rPr>
        <b/>
        <u/>
        <sz val="12"/>
        <rFont val="Times New Roman"/>
        <family val="1"/>
      </rPr>
      <t>HYDRO PROJECTS ACCORDED CONCURRENCE BY CEA</t>
    </r>
  </si>
  <si>
    <t>-  NIL</t>
  </si>
  <si>
    <r>
      <t>2.</t>
    </r>
    <r>
      <rPr>
        <b/>
        <sz val="7"/>
        <rFont val="Times New Roman"/>
        <family val="1"/>
      </rPr>
      <t xml:space="preserve">      </t>
    </r>
    <r>
      <rPr>
        <b/>
        <u/>
        <sz val="12"/>
        <rFont val="Times New Roman"/>
        <family val="1"/>
      </rPr>
      <t xml:space="preserve">ALL INDIA INSTALLED CAPACITY (MW) </t>
    </r>
  </si>
  <si>
    <t>i.</t>
  </si>
  <si>
    <t>ii.</t>
  </si>
  <si>
    <t>iii.</t>
  </si>
  <si>
    <t>Note-</t>
  </si>
  <si>
    <r>
      <t>3.</t>
    </r>
    <r>
      <rPr>
        <b/>
        <sz val="7"/>
        <rFont val="Times New Roman"/>
        <family val="1"/>
      </rPr>
      <t xml:space="preserve">      </t>
    </r>
    <r>
      <rPr>
        <b/>
        <u/>
        <sz val="12"/>
        <rFont val="Times New Roman"/>
        <family val="1"/>
      </rPr>
      <t xml:space="preserve"> ELECTRICITY GENERATION (BU) &amp; PLF (%)</t>
    </r>
  </si>
  <si>
    <t>RES*</t>
  </si>
  <si>
    <t>Monitored Capacity (MW)</t>
  </si>
  <si>
    <t>GENERATION (GWH)</t>
  </si>
  <si>
    <t>PLANT LOAD FACTOR (%)</t>
  </si>
  <si>
    <t>PROGRAM</t>
  </si>
  <si>
    <t>ACTUAL *</t>
  </si>
  <si>
    <t>% OF PRO- GRAM (4/3)</t>
  </si>
  <si>
    <t>% OF LAST YEAR (4/5)</t>
  </si>
  <si>
    <t>% OF PROGRAM (9/8)</t>
  </si>
  <si>
    <t>% OF LAST YEAR (9/10)</t>
  </si>
  <si>
    <t>%PLF of Thermal Power Plants (excluding gas based power plants)</t>
  </si>
  <si>
    <t>* Provisional</t>
  </si>
  <si>
    <t xml:space="preserve">Target during    2019-20 </t>
  </si>
  <si>
    <t>Target for 2019-20</t>
  </si>
  <si>
    <t xml:space="preserve">Electricity Generation (MU) Targets and Achievements for 2019-20  </t>
  </si>
  <si>
    <t>2018-19</t>
  </si>
  <si>
    <t>2018-19*</t>
  </si>
  <si>
    <t xml:space="preserve"> # (GrossGen.+ Net Import) / Mid-year population  * Provisional </t>
  </si>
  <si>
    <t xml:space="preserve"> No Hydro Project was accorded concurrence by CEA in the month of April ,2019</t>
  </si>
  <si>
    <t>APR-2019</t>
  </si>
  <si>
    <t>APRIL 2019 - APR-2019</t>
  </si>
  <si>
    <t>Category /  Sectors</t>
  </si>
  <si>
    <r>
      <rPr>
        <b/>
        <sz val="8"/>
        <rFont val="Arial"/>
        <family val="2"/>
      </rPr>
      <t>Target Apr 2019 to
Mar 2020</t>
    </r>
  </si>
  <si>
    <r>
      <rPr>
        <b/>
        <sz val="8"/>
        <rFont val="Arial"/>
        <family val="2"/>
      </rPr>
      <t>ACTUAL SAME MONTH
2018 - 19</t>
    </r>
  </si>
  <si>
    <r>
      <rPr>
        <b/>
        <sz val="8"/>
        <rFont val="Arial"/>
        <family val="2"/>
      </rPr>
      <t>ACTUAL SAME PERIOD
2018 - 19</t>
    </r>
  </si>
  <si>
    <t>GM share</t>
  </si>
  <si>
    <t>Diff.</t>
  </si>
  <si>
    <t>kudgi</t>
  </si>
  <si>
    <t>act diff.</t>
  </si>
  <si>
    <t>Agartala CCPP 5 MW Diff.</t>
  </si>
  <si>
    <t>*RES as on 31.07.2019</t>
  </si>
  <si>
    <t>Captive Generation Capacity in Industries having demand of 1 MW and above, grid interactive (as on 31-03-18) = 54,932.5 MW</t>
  </si>
  <si>
    <t>Captive generation capacity in Industries having demand of 1 MW and above, grid  Interactive (As on 31-03-2018) - 54.9 GW</t>
  </si>
  <si>
    <t>* For Coal and Lignite based Power Plants  and Provisional based on Actual-Cum-Assesment</t>
  </si>
  <si>
    <t>August</t>
  </si>
  <si>
    <t>ABBREVIATION</t>
  </si>
  <si>
    <t>Short Form</t>
  </si>
  <si>
    <t>Full Form</t>
  </si>
  <si>
    <t>BU</t>
  </si>
  <si>
    <t>Mega Watt</t>
  </si>
  <si>
    <t>T&amp;D</t>
  </si>
  <si>
    <t>Transmission and Distribution</t>
  </si>
  <si>
    <t>AT&amp;C</t>
  </si>
  <si>
    <t xml:space="preserve">Aggregate Technical and Commercial </t>
  </si>
  <si>
    <t>MT</t>
  </si>
  <si>
    <t>Million Tonnes</t>
  </si>
  <si>
    <t>MVA</t>
  </si>
  <si>
    <t>Mega Volt Ampere</t>
  </si>
  <si>
    <t>Circuit Kilo Meters</t>
  </si>
  <si>
    <t>w.r.t</t>
  </si>
  <si>
    <t>Million Units</t>
  </si>
  <si>
    <t>Billion Units</t>
  </si>
  <si>
    <t>Not Applicable</t>
  </si>
  <si>
    <t>Renewable Energy Sources</t>
  </si>
  <si>
    <t>PLF</t>
  </si>
  <si>
    <t>Plant Load Factor</t>
  </si>
  <si>
    <t>IPP</t>
  </si>
  <si>
    <t>Independent Power Producer</t>
  </si>
  <si>
    <t>UTL.</t>
  </si>
  <si>
    <t>Utilities</t>
  </si>
  <si>
    <t>ACS</t>
  </si>
  <si>
    <t>Average Cost of Supply</t>
  </si>
  <si>
    <t>ARR</t>
  </si>
  <si>
    <t>Average Revenue Realization</t>
  </si>
  <si>
    <t xml:space="preserve">Achievements </t>
  </si>
  <si>
    <t>Kilo Volts</t>
  </si>
  <si>
    <t>High Voltage Direct Current Transmission</t>
  </si>
  <si>
    <t>Kilo Watt Hours</t>
  </si>
  <si>
    <t>CEA</t>
  </si>
  <si>
    <t>SLDC</t>
  </si>
  <si>
    <t>State Load Dispatch Centre</t>
  </si>
  <si>
    <t>IR</t>
  </si>
  <si>
    <t xml:space="preserve">Inter Regional </t>
  </si>
  <si>
    <t>With Respect To</t>
  </si>
  <si>
    <t>September</t>
  </si>
  <si>
    <t>CPSUs</t>
  </si>
  <si>
    <t>State Utility</t>
  </si>
  <si>
    <t>HWB (Kota)</t>
  </si>
  <si>
    <t>Total Others in Northern Region</t>
  </si>
  <si>
    <t>Dadar Nagar &amp; Silvasa</t>
  </si>
  <si>
    <t>BARC</t>
  </si>
  <si>
    <t>IGCAR</t>
  </si>
  <si>
    <t>Tamilnadu</t>
  </si>
  <si>
    <t>BHAVINI</t>
  </si>
  <si>
    <t>AUGF</t>
  </si>
  <si>
    <t>Andaman&amp;Nicobar</t>
  </si>
  <si>
    <t>Section H - Rate of sale of power</t>
  </si>
  <si>
    <t>Outstanding dues of Power Utilities Payable to CPSUs on Monthly basis</t>
  </si>
  <si>
    <t xml:space="preserve">RATE OF SALE OF POWER </t>
  </si>
  <si>
    <t>October</t>
  </si>
  <si>
    <t>Damodar valley Corporation</t>
  </si>
  <si>
    <t>Central Public Sector Undertakings</t>
  </si>
  <si>
    <t>November</t>
  </si>
  <si>
    <t>SOLAR</t>
  </si>
  <si>
    <t xml:space="preserve">BHABA AUGUMENTATION POWER HOUSE </t>
  </si>
  <si>
    <t xml:space="preserve">INDRAPRASTHA GAS TURBINE POWER STATION </t>
  </si>
  <si>
    <t xml:space="preserve">PRAGATI POWER STATION-I </t>
  </si>
  <si>
    <t>J&amp;KPDC</t>
  </si>
  <si>
    <t>BAGLIHAR HEP I</t>
  </si>
  <si>
    <t>HPPCL</t>
  </si>
  <si>
    <t>SAINJ HEP</t>
  </si>
  <si>
    <t>PUNJAB STATE POWER COR LTD.</t>
  </si>
  <si>
    <t xml:space="preserve">G.G.S.S.T.PLANT ROPAR </t>
  </si>
  <si>
    <t xml:space="preserve">G.H.T.PLANT LEHRA MOHABAT </t>
  </si>
  <si>
    <t xml:space="preserve">SHANAN P. H.  JOGINDER NGR (UHL) </t>
  </si>
  <si>
    <t xml:space="preserve">U.B.D.C.PATHANKOT / MALIKPUR </t>
  </si>
  <si>
    <t xml:space="preserve">ASHP ANANDPUR SAHIB </t>
  </si>
  <si>
    <t xml:space="preserve">MUKERIAN HYDEL TALWARA </t>
  </si>
  <si>
    <t>SHEETLA SHP</t>
  </si>
  <si>
    <t xml:space="preserve">THERMAL-GAS RLNG </t>
  </si>
  <si>
    <t>JSW HYDRO ENERGY LTD.</t>
  </si>
  <si>
    <t>BASPA II HEP</t>
  </si>
  <si>
    <t>ADANI POWER RAJASTHAN LTD  (1200 MW PPA RAJASTHAN DISCOM)</t>
  </si>
  <si>
    <t>SOLAPUR</t>
  </si>
  <si>
    <t>MOUDA TPP STAGE I</t>
  </si>
  <si>
    <t>MOUDA TPP STAGE  II</t>
  </si>
  <si>
    <t>ATAL BIHARI VAJPAYEE TPS JANJGIR</t>
  </si>
  <si>
    <t xml:space="preserve">HEP GANGREL </t>
  </si>
  <si>
    <t>GANDHI NAGAR TPS 3-4</t>
  </si>
  <si>
    <t>BHUSAWAL TPS U3,U4,U5</t>
  </si>
  <si>
    <t>CHANDRAPUR STPS U3 to U9</t>
  </si>
  <si>
    <t>KORADI TPS U6 TO U10</t>
  </si>
  <si>
    <t>PARLI TPS U4 TO U8</t>
  </si>
  <si>
    <t>ANUPPUR THERMAL POWER STATION</t>
  </si>
  <si>
    <t xml:space="preserve">ESSAR POWER MP  LTD </t>
  </si>
  <si>
    <t>SURAT LIG. P P (SLPP STATION -II)</t>
  </si>
  <si>
    <t>AEML</t>
  </si>
  <si>
    <t>BHANDARDARA HEP PHASE II</t>
  </si>
  <si>
    <t>NTECL</t>
  </si>
  <si>
    <t>KAIGA 1,2,3,4</t>
  </si>
  <si>
    <t>KUDGI I</t>
  </si>
  <si>
    <t>NSTPHES</t>
  </si>
  <si>
    <t>GERUSOPPA  PH</t>
  </si>
  <si>
    <t>SHARAVATHY  VALLEY PROJECT &amp; LINGANAMAKKI PH</t>
  </si>
  <si>
    <t>MALPRABHA MINI HYDEL</t>
  </si>
  <si>
    <t xml:space="preserve">CHEMBUKADAVU ST I  </t>
  </si>
  <si>
    <t>CHEMBUKADAVU ST II</t>
  </si>
  <si>
    <t xml:space="preserve">URUMI ST I  </t>
  </si>
  <si>
    <t xml:space="preserve">URUMI ST II </t>
  </si>
  <si>
    <t>NERIAMANGLAM</t>
  </si>
  <si>
    <t>CHIMONY</t>
  </si>
  <si>
    <t>PERUMTHENARUVI</t>
  </si>
  <si>
    <t>ULLUNKAL</t>
  </si>
  <si>
    <t>IRUTTUKKANAM</t>
  </si>
  <si>
    <t>KARIKKAYAM</t>
  </si>
  <si>
    <t>MEENVALLOM</t>
  </si>
  <si>
    <t>CHATHAM</t>
  </si>
  <si>
    <t>A&amp;N ISLAND</t>
  </si>
  <si>
    <t>PHONEIX BAY</t>
  </si>
  <si>
    <t>RAJ NIWAS</t>
  </si>
  <si>
    <t>SECRETARIATE</t>
  </si>
  <si>
    <t>NEIL ISLAND</t>
  </si>
  <si>
    <t>RUTLAND</t>
  </si>
  <si>
    <t>BARATANG</t>
  </si>
  <si>
    <t xml:space="preserve">RANGAT BAY  </t>
  </si>
  <si>
    <t>LONG ISLAND</t>
  </si>
  <si>
    <t>HANSPURI</t>
  </si>
  <si>
    <t>SMITH ISLAND</t>
  </si>
  <si>
    <t>SITA NAGAR</t>
  </si>
  <si>
    <t>KHEP</t>
  </si>
  <si>
    <t>HUTBAY</t>
  </si>
  <si>
    <t>DUGONG CREEK</t>
  </si>
  <si>
    <t>NPH CAR NICOBAR</t>
  </si>
  <si>
    <t>KADAMTALA</t>
  </si>
  <si>
    <t>KATCHAL</t>
  </si>
  <si>
    <t>TERESSA</t>
  </si>
  <si>
    <t>CAMPBELL BAY/ COMM PH</t>
  </si>
  <si>
    <t>SIKIDIRI  HYDEL(SUBERNREKHA)</t>
  </si>
  <si>
    <t>JHARKHAND UUNL</t>
  </si>
  <si>
    <t>HPP-I</t>
  </si>
  <si>
    <t>HPP-II</t>
  </si>
  <si>
    <t>HAVELOCK</t>
  </si>
  <si>
    <t>GANDHI NAGAR</t>
  </si>
  <si>
    <t>SHANTI NAGAR</t>
  </si>
  <si>
    <t>GANESH NAGAR</t>
  </si>
  <si>
    <t>BUDGE BUDGE</t>
  </si>
  <si>
    <t>CESC LIMITED</t>
  </si>
  <si>
    <t>SOUTHERN GENERATING STATION</t>
  </si>
  <si>
    <t>WASTE GAS</t>
  </si>
  <si>
    <t xml:space="preserve">MEGHALAYA POWER GEN. COR.  LTD </t>
  </si>
  <si>
    <t>NEW UMTRU</t>
  </si>
  <si>
    <t>MIZORAM POWER ELECT.  DEPTT.</t>
  </si>
  <si>
    <t>TPGL</t>
  </si>
  <si>
    <t>December</t>
  </si>
  <si>
    <t>MEA (Power to Nepal)</t>
  </si>
  <si>
    <t>PTC (Regulated Power)</t>
  </si>
  <si>
    <t>kWh</t>
  </si>
  <si>
    <t>Average cost of power supply &amp; Average realisation (Paisa/kWh)</t>
  </si>
  <si>
    <t>COAL</t>
  </si>
  <si>
    <t>GAS</t>
  </si>
  <si>
    <t>DIESEL</t>
  </si>
  <si>
    <t>kV</t>
  </si>
  <si>
    <t>Total Installed Capacity =</t>
  </si>
  <si>
    <t>Orissa</t>
  </si>
  <si>
    <t>CKMs</t>
  </si>
  <si>
    <t>Capacity Addition Targets and Achievements in 12th Plan, 2017-18 , 2018-19 and 2019-20</t>
  </si>
  <si>
    <t xml:space="preserve">Electricity Generation (MU) Targets and Achievements for  2020-21 </t>
  </si>
  <si>
    <t xml:space="preserve">   (Figures in MW)</t>
  </si>
  <si>
    <t>(ii) Capacity Addition Target and Achievement for 2017-18                                                       (Figures in MW)</t>
  </si>
  <si>
    <t>(i) Capacity Addition Target and Achievement for 12th Plan                                                     (Figures in MW)</t>
  </si>
  <si>
    <t>(iii) Capacity Addition Target and Achievement for 2018-19                                                     (Figures in MW)</t>
  </si>
  <si>
    <t>(iv) Capacity Addition Target and Achievement for 2019-20                                                     (Figures in MW)</t>
  </si>
  <si>
    <t xml:space="preserve">Programme 2020-21 </t>
  </si>
  <si>
    <t xml:space="preserve"> Executive summary of Target and Achievement of Transmission Lines during 2020-21 </t>
  </si>
  <si>
    <t xml:space="preserve"> Executive summary of Target and Achievement of Substations during 2020-21</t>
  </si>
  <si>
    <t>Electricity Generation (MU) Targets and Achievements for 2020-21</t>
  </si>
  <si>
    <t>Plan Period 2017-22 (Up to Mar'2020)</t>
  </si>
  <si>
    <t>Capacity Addition Targets and Achievements in  12th Plan, 2017-18, 2018-19 and 2019-20</t>
  </si>
  <si>
    <t>Note: The progress shown above from FY17 and FY18 is based on data provided by PFC on the basis of audited/certified  annual  accounts  of  Utilities  and  progress  of  FY19  is  based  on   provisional   /   unaudited data entered by States /DISCOMs on UDAY portal during respective years/quarters, which may vary from the year-end audited figures. The portal dynamically captures data as and when uploaded by States.</t>
  </si>
  <si>
    <t>2019-20</t>
  </si>
  <si>
    <t>2019-20*</t>
  </si>
  <si>
    <t xml:space="preserve">*Provisional </t>
  </si>
  <si>
    <t xml:space="preserve">* Provisional </t>
  </si>
  <si>
    <t>HWB (Gujarat)</t>
  </si>
  <si>
    <t>Note:  Captive Genaration is not included in the Total</t>
  </si>
  <si>
    <t>RES (MNRE)*</t>
  </si>
  <si>
    <t>Electricity Generation (Including Hydro as conventional)</t>
  </si>
  <si>
    <t>Electricity Generation (Including Hydro as Renewable Energy Sources)</t>
  </si>
  <si>
    <t>UT of J&amp;K &amp; Ladakh</t>
  </si>
  <si>
    <t>PLF 2021*</t>
  </si>
  <si>
    <t>PLF 2020</t>
  </si>
  <si>
    <t>** RES as on 28.02.2021</t>
  </si>
  <si>
    <t>Gap ACS-ARR (on subsidy received basis) paise/unit</t>
  </si>
  <si>
    <t>Himachal</t>
  </si>
  <si>
    <t>Generation</t>
  </si>
  <si>
    <t>1. SUMMARY-ALL INDIA</t>
  </si>
  <si>
    <t>Catagory</t>
  </si>
  <si>
    <t>BHUTAN IMP</t>
  </si>
  <si>
    <t>TOTAL</t>
  </si>
  <si>
    <t xml:space="preserve">   * PROVISIONAL BASED ON ACTUAL-CUM-ASSESMENT 
   NOTE : 
      PLF FOR THERMAL STATIONS IS FOR COAL / LIGNITE BASED STATIONS ONLY. 
      PLF FOR GAS / LIQUID BASED STATIONS GIVEN SEPARATELY  
     Excludes generation from stations upto 25 MW.</t>
  </si>
  <si>
    <t>2. SUMMARY - REGION WISE</t>
  </si>
  <si>
    <t>Category /
Regions</t>
  </si>
  <si>
    <t>NORTHERN  REGION</t>
  </si>
  <si>
    <t>WESTERN  REGION</t>
  </si>
  <si>
    <t>SOUTHERN  REGION</t>
  </si>
  <si>
    <t>EASTERN  REGION</t>
  </si>
  <si>
    <t>NORTH EASTERN  REGION</t>
  </si>
  <si>
    <t>BHUTAN IMP.  REGION</t>
  </si>
  <si>
    <t>ALL INDIA  REGION</t>
  </si>
  <si>
    <t>SUMMARY - THERMAL, HYDRO, AND NUCLEAR (CONSOLIDATED)</t>
  </si>
  <si>
    <t>Category /
Sectors</t>
  </si>
  <si>
    <t>PVT. SECTOR UTL.</t>
  </si>
  <si>
    <t>PVT. SECTOR IPP</t>
  </si>
  <si>
    <t>TOTAL PVT</t>
  </si>
  <si>
    <t xml:space="preserve">  * PROVISIONAL BASED ON ACTUAL-CUM-ASSESMENT</t>
  </si>
  <si>
    <t>2. SUMMARY - SECTOR WISE</t>
  </si>
  <si>
    <t>Category /
 Sectors</t>
  </si>
  <si>
    <t>APCPL</t>
  </si>
  <si>
    <t>BRBCL</t>
  </si>
  <si>
    <t>K.B.U.N.L</t>
  </si>
  <si>
    <t>MUNPL</t>
  </si>
  <si>
    <t>NEEPCO.</t>
  </si>
  <si>
    <t>NPGCL</t>
  </si>
  <si>
    <t>NSPCL</t>
  </si>
  <si>
    <t>NTPC Ltd.</t>
  </si>
  <si>
    <t>NTPL</t>
  </si>
  <si>
    <t>NUPPL</t>
  </si>
  <si>
    <t>ONGC</t>
  </si>
  <si>
    <t>PVT SECTOR</t>
  </si>
  <si>
    <t>IPP SECTOR</t>
  </si>
  <si>
    <t>TOTAL THERMAL</t>
  </si>
  <si>
    <t>DAE</t>
  </si>
  <si>
    <t>TOTAL NUCLEAR</t>
  </si>
  <si>
    <t>BBMB</t>
  </si>
  <si>
    <t>NHDC</t>
  </si>
  <si>
    <t>NHPC</t>
  </si>
  <si>
    <t>TOTAL HYDRO</t>
  </si>
  <si>
    <t>ALL INDIA TOTAL</t>
  </si>
  <si>
    <t>https://npp.gov.in/public-reports/cea/monthly/generation/18%20col%20ten//2021/MAR/18%20col%20ten-1_2021-MAR.xls</t>
  </si>
  <si>
    <t>Central Electricity Authority/ केन्द्रीय विद्युत प्राधिकरण</t>
  </si>
  <si>
    <t>Renewable Energy Project Monitoring Division/ नवीकरणीय ऊर्जा परियोजना प्रबोधन प्रभाग</t>
  </si>
  <si>
    <t>राज्य/State/क्षेत्र / Region</t>
  </si>
  <si>
    <t>दिल्ली / Delhi #</t>
  </si>
  <si>
    <t>जम्मू कश्मीर / Jammu &amp; Kashmir</t>
  </si>
  <si>
    <t xml:space="preserve">त्रिपुरा / Tripura </t>
  </si>
  <si>
    <t xml:space="preserve">उत्तर-पूर्वी क्षेत्र  / North-Eastern Region      </t>
  </si>
  <si>
    <t>Wind (MU)</t>
  </si>
  <si>
    <t>Solar (MU)</t>
  </si>
  <si>
    <t>Others*  (MU)</t>
  </si>
  <si>
    <t>(1) The data is based on daily RE generation report of CEA. It is based on operational data and have no commercial implication.</t>
  </si>
  <si>
    <t>(2) Figures given above indicates gross RE generation of all RE power stations (Central,state,private sector) located goegraphically in the respective state.</t>
  </si>
  <si>
    <t xml:space="preserve">Sl. No. </t>
  </si>
  <si>
    <t>Q1</t>
  </si>
  <si>
    <t>Q2</t>
  </si>
  <si>
    <t>Q3</t>
  </si>
  <si>
    <t>Q4</t>
  </si>
  <si>
    <t>THERMAL PROJECTS</t>
  </si>
  <si>
    <t>Total Central Sector</t>
  </si>
  <si>
    <t>Total State Sector</t>
  </si>
  <si>
    <t>Total Private Sector</t>
  </si>
  <si>
    <t>Total Thermal Sector</t>
  </si>
  <si>
    <t>HYDRO PROJECTS</t>
  </si>
  <si>
    <t>STATE  SECTOR</t>
  </si>
  <si>
    <t>Private Sector</t>
  </si>
  <si>
    <t xml:space="preserve">Total Private Sector </t>
  </si>
  <si>
    <t>Total Hydro Projects</t>
  </si>
  <si>
    <t>Nuclear Projects</t>
  </si>
  <si>
    <t>Total Nuclear projects</t>
  </si>
  <si>
    <t>DASHBOARD FOR TARGET/ACHIEVEMENTS OF TRANSMISSION PROJECTS (CKm/MVA)</t>
  </si>
  <si>
    <t>12th Plan
(up to Mar-17)</t>
  </si>
  <si>
    <t>FY 2012-13</t>
  </si>
  <si>
    <t>FY 2013-14</t>
  </si>
  <si>
    <t>FY 2014-15</t>
  </si>
  <si>
    <t>FY 2015-16</t>
  </si>
  <si>
    <t>FY 2016-17</t>
  </si>
  <si>
    <t>Plan Period 
(2017-22)</t>
  </si>
  <si>
    <t>FY 2020-21</t>
  </si>
  <si>
    <t>FY 2019-20</t>
  </si>
  <si>
    <t>FY 2018-19</t>
  </si>
  <si>
    <t>FY 2017-18</t>
  </si>
  <si>
    <t>FY 2021-22</t>
  </si>
  <si>
    <t>APR</t>
  </si>
  <si>
    <t>MAY</t>
  </si>
  <si>
    <t>JUN</t>
  </si>
  <si>
    <t>JUL</t>
  </si>
  <si>
    <t>AUG</t>
  </si>
  <si>
    <t>SEP</t>
  </si>
  <si>
    <t>OCT</t>
  </si>
  <si>
    <t>NOV</t>
  </si>
  <si>
    <t>DEC</t>
  </si>
  <si>
    <t>JAN</t>
  </si>
  <si>
    <t>FEB</t>
  </si>
  <si>
    <t>MAR</t>
  </si>
  <si>
    <t>Growth of Transmission system at the end of</t>
  </si>
  <si>
    <t>13th Plan (Up to Mar'2019)</t>
  </si>
  <si>
    <t>Inter-regional Power Transfer Capacity</t>
  </si>
  <si>
    <t>IR addition in 12th Plan (up to 03/2017)</t>
  </si>
  <si>
    <t>Envisaged IR Capacity at the end of 13th Plan</t>
  </si>
  <si>
    <t xml:space="preserve">1. TRANSMISSION LINES </t>
  </si>
  <si>
    <t>Plan Period 2017-22 (Up to Mar'2019)</t>
  </si>
  <si>
    <t>2. SUBSTATION:</t>
  </si>
  <si>
    <t>Inter-regional  Transmission Capacity at the end of 10th Plan</t>
  </si>
  <si>
    <t>Inter-regional  Transmission Capacity added during 11th Plan</t>
  </si>
  <si>
    <t>Inter-regional  Transmission Capacity at the end of 11th Plan</t>
  </si>
  <si>
    <t>Inter-regional  Transmission Capacity added during 12th Plan</t>
  </si>
  <si>
    <t>Inter-regional  Transmission Capacity at the end of 12th Plan</t>
  </si>
  <si>
    <t>Inter-regional  Transmission Capacity added in Oct'18</t>
  </si>
  <si>
    <t>Inter-regional  Transmission Capacity added in Dec'18</t>
  </si>
  <si>
    <t>Plan/Region</t>
  </si>
  <si>
    <t>IR Transmission Capacity at the end of 11th Plan (as on Mar’12)</t>
  </si>
  <si>
    <t>12th Plan Addition</t>
  </si>
  <si>
    <t>IR Transmission Capacity at the end of 12th Plan (as on Mar’17)</t>
  </si>
  <si>
    <t>starting month of year</t>
  </si>
  <si>
    <t>Last month</t>
  </si>
  <si>
    <t>Renewable last month final</t>
  </si>
  <si>
    <t>Renewable current month provisional</t>
  </si>
  <si>
    <t>1. SUMMARY-ALL INDIA                                                                          AN OVERVIEW</t>
  </si>
  <si>
    <t xml:space="preserve">Biomass </t>
  </si>
  <si>
    <t xml:space="preserve">Small Hydro </t>
  </si>
  <si>
    <t>Generation OPM</t>
  </si>
  <si>
    <t>Capacity Addition</t>
  </si>
  <si>
    <t>Transmission</t>
  </si>
  <si>
    <t>Targets for Capacity Addition 2021-22</t>
  </si>
  <si>
    <t>May'21</t>
  </si>
  <si>
    <t>Apr'21</t>
  </si>
  <si>
    <t>Aug'21</t>
  </si>
  <si>
    <t>Sep'21</t>
  </si>
  <si>
    <t>Jun'21</t>
  </si>
  <si>
    <t>Jul'21</t>
  </si>
  <si>
    <t>Oct'21</t>
  </si>
  <si>
    <t>Mar'22</t>
  </si>
  <si>
    <t>Nov'21</t>
  </si>
  <si>
    <t>Dec'21</t>
  </si>
  <si>
    <t>Jan'22</t>
  </si>
  <si>
    <t>Feb'22</t>
  </si>
  <si>
    <t>Achievement for Capacity Addition 2021-22</t>
  </si>
  <si>
    <t>Help</t>
  </si>
  <si>
    <t>1. Capacity Addition and achievement data is available in "Data" sheet at "BA281"</t>
  </si>
  <si>
    <t>Cumulative</t>
  </si>
  <si>
    <t>1. Capacity Addtion Targets and Achievements in the 12th Plan onwards</t>
  </si>
  <si>
    <t>(v) Capacity Addition Target and Achievement for 2020-21                                                     (Figures in MW)</t>
  </si>
  <si>
    <t>1.  Electricity Generation (MU) Targets and Achievememts for 2021-22</t>
  </si>
  <si>
    <t>Data for last year same month</t>
  </si>
  <si>
    <t>*Captive Power capacity  as on 31.03.2020</t>
  </si>
  <si>
    <t xml:space="preserve">CHUTAK </t>
  </si>
  <si>
    <t>NIMMO-BAZGO</t>
  </si>
  <si>
    <t xml:space="preserve">FARIDABAD </t>
  </si>
  <si>
    <t>GANDHAR</t>
  </si>
  <si>
    <t>GUJRAT</t>
  </si>
  <si>
    <t>TANDA I TPS</t>
  </si>
  <si>
    <t>FGUTPS UNCHAHAR I</t>
  </si>
  <si>
    <t>FGUTPS UNCHAHAR II</t>
  </si>
  <si>
    <t>FGUTPS UNCHAHAR  III</t>
  </si>
  <si>
    <t>FGUTPS UNCHAHAR  IV</t>
  </si>
  <si>
    <t xml:space="preserve">KOLDAM </t>
  </si>
  <si>
    <t>RAJASTHAN  A.P.S. 2,3,4,5 &amp; 6</t>
  </si>
  <si>
    <t>RATE OF SALE OF POWER FOR THE YEAR 2018-2019 AS RECEIVED FROM GENERATING UTILITIES</t>
  </si>
  <si>
    <t>Net Gen (Mkwh).</t>
  </si>
  <si>
    <t>Fixed Chaeges  (Paise/Kwh)   (i)</t>
  </si>
  <si>
    <t>Energy Charges  (Paise/Kwh)  (ii)</t>
  </si>
  <si>
    <t xml:space="preserve">Rate of Sale of Power as approved by CERC/SERC (Paise/Kwh)   iii=( i+ii) </t>
  </si>
  <si>
    <t>389 to 433.22</t>
  </si>
  <si>
    <t>PANIPAT TPS - II (Unit 5 &amp; 6)</t>
  </si>
  <si>
    <t>PANIPAT TPS - II (Unit 7 &amp; 8)</t>
  </si>
  <si>
    <t>BHEP II (PDD)</t>
  </si>
  <si>
    <t xml:space="preserve">JHAJJAR POWER LIMITED MAHATMA GANDHI TPP </t>
  </si>
  <si>
    <t>CLP INDIA  PVT. LTD.(JHAJJAR POWER LTD)</t>
  </si>
  <si>
    <t>GAMA INFRAPROP 225 MW GAS BASED CCPP</t>
  </si>
  <si>
    <t xml:space="preserve">JNSTPP(JAYPEE NIGRIE)   </t>
  </si>
  <si>
    <t>PPGCL (BARA)</t>
  </si>
  <si>
    <t xml:space="preserve">U P </t>
  </si>
  <si>
    <t>JHABHUA POWER LTD</t>
  </si>
  <si>
    <t>JHABUA POWER LTD</t>
  </si>
  <si>
    <t>IDEAL ENERGY PROJECTS LTD</t>
  </si>
  <si>
    <t>IEPL</t>
  </si>
  <si>
    <t>BERRA DOL SOLAR</t>
  </si>
  <si>
    <t>NABHA POWER LTD.(PSPCL)</t>
  </si>
  <si>
    <t xml:space="preserve">TALWANDI SABO POWER LTD. </t>
  </si>
  <si>
    <t>PSPCL</t>
  </si>
  <si>
    <t>OMKARESHWAR  HPS</t>
  </si>
  <si>
    <t>TARAPUR 1 , 2,3 &amp;4</t>
  </si>
  <si>
    <t>GOINDWAL TPP(GVK)</t>
  </si>
  <si>
    <t>RANJIT SAGAR  Dam(R.S.D) SHAHPUR KANDI</t>
  </si>
  <si>
    <t xml:space="preserve">MICRO  ANANDPUR SAHIB </t>
  </si>
  <si>
    <t xml:space="preserve">KOTA SUPER THERMAL POWER STATION </t>
  </si>
  <si>
    <t>CHHABRA TPP I,2,3&amp;4</t>
  </si>
  <si>
    <t>RAMGARH GT POWER PROJECT(1&amp;2) &amp; RGTPP STAGE 3(160MW)</t>
  </si>
  <si>
    <t>CSCTPP U#5</t>
  </si>
  <si>
    <t xml:space="preserve">DHOLPUR GAS TPS  </t>
  </si>
  <si>
    <t>KALISINDH TPP I &amp; 2</t>
  </si>
  <si>
    <t>BHOLA ,SALAWA,NIRGAJINI,CHITTAURA,UGC PS</t>
  </si>
  <si>
    <t>ADANI DAHANU</t>
  </si>
  <si>
    <t xml:space="preserve">VEDANTA LTD. (EARLIER-SESA STERELITE LTD/GOA ENERGY LTD) </t>
  </si>
  <si>
    <t>THERMAL-GAS/WHR</t>
  </si>
  <si>
    <t xml:space="preserve">VEDANTA LTD. (EARLIER-SESA STERLITE LTD) </t>
  </si>
  <si>
    <t>THERMAL-GAS/RLNG</t>
  </si>
  <si>
    <t>Not in operation-PPA expired</t>
  </si>
  <si>
    <t>SURAT LIG. P P (SLPP STATION -I)</t>
  </si>
  <si>
    <t>BLTPS 1-2</t>
  </si>
  <si>
    <t>SINGARENI TPP</t>
  </si>
  <si>
    <t>SINGARENI COLLIERIES COMPANY LTD</t>
  </si>
  <si>
    <t>SIMHADRI STPS I</t>
  </si>
  <si>
    <t>SIMHADRI STPS II</t>
  </si>
  <si>
    <t>RAYALASEEMA T P P-IV</t>
  </si>
  <si>
    <t>SRISAILAM (RBPH)</t>
  </si>
  <si>
    <t>KTPS VII</t>
  </si>
  <si>
    <t>KTPS O&amp;M</t>
  </si>
  <si>
    <t>RTS B</t>
  </si>
  <si>
    <t>NAGJHARI PH</t>
  </si>
  <si>
    <t>MUNIRA.+MAHATMA GANDHI HES+SHIMSHA PH+SHIVASAMUDRAM PH</t>
  </si>
  <si>
    <t>PORINGALKUTTU SCREW</t>
  </si>
  <si>
    <t>KAKKAYAM</t>
  </si>
  <si>
    <t>PATHANKAYAM</t>
  </si>
  <si>
    <t xml:space="preserve">AGATTI  </t>
  </si>
  <si>
    <t xml:space="preserve">KARUPPUR TANJORE </t>
  </si>
  <si>
    <t xml:space="preserve">LANCO TANJORE PCL </t>
  </si>
  <si>
    <t>LANCO KPL MODULE 1</t>
  </si>
  <si>
    <t>LANCO KONDAPALLI POWER LTD.</t>
  </si>
  <si>
    <t xml:space="preserve">SRI DAMODARAM STPS </t>
  </si>
  <si>
    <t>SPECTRUM POWER GENERATION LTD. (GODAVARI GAS POWER COMBINED CYCLE POWER PLANT)</t>
  </si>
  <si>
    <t>IL&amp;FS TN P COM. LTD. U 1</t>
  </si>
  <si>
    <t>IL&amp;FS TN P COM. LTD.  U 2</t>
  </si>
  <si>
    <t>BOKARO `B` TPS</t>
  </si>
  <si>
    <t>BOKARO `A` TPS</t>
  </si>
  <si>
    <t>MEJIA TPS, U 1-3</t>
  </si>
  <si>
    <t>MEJIA TPS, U 4</t>
  </si>
  <si>
    <t>MEJIA TPS, U 5-6</t>
  </si>
  <si>
    <t>MEJIA TPS, U 7-8</t>
  </si>
  <si>
    <t>CHANDRAPURA TPS,U7-8</t>
  </si>
  <si>
    <t>KISHAGANGA</t>
  </si>
  <si>
    <t>KAHALGAON STPS I</t>
  </si>
  <si>
    <t>KAHALGAON STPS II</t>
  </si>
  <si>
    <t>CENTRAL/PRIVATE SECTOR</t>
  </si>
  <si>
    <t>5 MW NTPC</t>
  </si>
  <si>
    <t>10 MW NTPC</t>
  </si>
  <si>
    <t>STRAIT ISLAND</t>
  </si>
  <si>
    <t>KAMORTA + COMMUNITY POWER HOUSE</t>
  </si>
  <si>
    <t>CHOWRA</t>
  </si>
  <si>
    <t>others</t>
  </si>
  <si>
    <t>DHUVARAN CCPP-3</t>
  </si>
  <si>
    <t>KUTCH LIG. TPS 1,2,3</t>
  </si>
  <si>
    <t>UKAI 3,4 &amp; 5</t>
  </si>
  <si>
    <t xml:space="preserve">UGBPS II </t>
  </si>
  <si>
    <t>MADHIKHERA  HPS</t>
  </si>
  <si>
    <t>SATPURA TPH STPS PH II&amp;III-SARNI</t>
  </si>
  <si>
    <t>SATPURA TPH STPS PH IV-SARNI</t>
  </si>
  <si>
    <t>SHRI SINGHAJI TPH, KHANDWA-SSTPS PH-II</t>
  </si>
  <si>
    <t>SHRI SINGHAJI TPH, KHANDWA-SSTPS PH-I</t>
  </si>
  <si>
    <t>NASIK TPS U3 to U5</t>
  </si>
  <si>
    <t>PARAS U3 &amp; U4</t>
  </si>
  <si>
    <t xml:space="preserve">URAN </t>
  </si>
  <si>
    <t>SMALL HYDRO POWER PLANTS+ GHATGHAR PSS</t>
  </si>
  <si>
    <t>JOJOBERA PH 6</t>
  </si>
  <si>
    <t xml:space="preserve">THERMAL-WASTE FLUE GAS </t>
  </si>
  <si>
    <t>KALINGANAGAR-IEL U1</t>
  </si>
  <si>
    <t>KALINGANAGAR-IEL U2</t>
  </si>
  <si>
    <t>LRPP</t>
  </si>
  <si>
    <t>LIKIMRO HEP</t>
  </si>
  <si>
    <t>LANG HEP</t>
  </si>
  <si>
    <t xml:space="preserve">DUILUMROI HEP </t>
  </si>
  <si>
    <t xml:space="preserve">TEHOK HEP </t>
  </si>
  <si>
    <t>LAKROH MHEP</t>
  </si>
  <si>
    <t>PALATANA  CGTPP</t>
  </si>
  <si>
    <t>ONGC TRIPURA POWER COM LTD</t>
  </si>
  <si>
    <t>327-306.7</t>
  </si>
  <si>
    <t>NAGARJUNASAGAR POWER HOUSE &amp; NSLCPH</t>
  </si>
  <si>
    <t>SLBHES</t>
  </si>
  <si>
    <t>PJHES</t>
  </si>
  <si>
    <t xml:space="preserve">लद्दाख़ / Ladakh </t>
  </si>
  <si>
    <t>TENTATIVE SCHEDULED GENERATION CAPACITY ADDITION  FOR THE YEAR 2021-22 (As on 17.05.2021)</t>
  </si>
  <si>
    <t>Grand Total                                               (Thermal + Hydro + Nuclear)</t>
  </si>
  <si>
    <t>Programme 2021-22</t>
  </si>
  <si>
    <t>Plan Period 2017-22 (Up to Mar'2021)</t>
  </si>
  <si>
    <t>दिल्ली / Delhi</t>
  </si>
  <si>
    <t xml:space="preserve">यू.टी ऑफ़ जम्मू कश्मीर और लद्दाख / 
UT of J&amp;K and Ladakh </t>
  </si>
  <si>
    <t xml:space="preserve">* Excludes the supply to Bangladesh. </t>
  </si>
  <si>
    <t>Note:  Power Supply Position Report has been compiled based on the data furnished by StateUtilities/ Electricity Departments. The MU figures has been rounded off to nearest unit place.</t>
  </si>
  <si>
    <t>राज्य /क्षेत्र / State/ Region</t>
  </si>
  <si>
    <t>औसत विद्युत आपूर्ति घन्टों में / Average Hours of Supply</t>
  </si>
  <si>
    <t>Data not received</t>
  </si>
  <si>
    <t>HPSEBL has only 2% agriculture consumers and uninterrupted power is being supplied to agriculture sector</t>
  </si>
  <si>
    <t xml:space="preserve">06:30 hours/day  </t>
  </si>
  <si>
    <t xml:space="preserve">पश्चिमी क्षेत्र/ Western Region </t>
  </si>
  <si>
    <t>24 hours/day</t>
  </si>
  <si>
    <t>8:38 hours/day</t>
  </si>
  <si>
    <t>मध्य प्रदेश / Madhya Pradesh *</t>
  </si>
  <si>
    <t>9 hours/day</t>
  </si>
  <si>
    <t xml:space="preserve">07 hours/day .                                                                   </t>
  </si>
  <si>
    <t xml:space="preserve">9 hours/day (6 hours during day time and 3 hours during night time)    </t>
  </si>
  <si>
    <t xml:space="preserve">पूर्वी क्षेत्र / Eastern Region </t>
  </si>
  <si>
    <t>More than 22 hours/day</t>
  </si>
  <si>
    <t>About 20 hours/day</t>
  </si>
  <si>
    <t>DVC / ªã½ããñªÀ Üãã›ãè ãä¶ãØã½ã</t>
  </si>
  <si>
    <t>About 20 hrs.</t>
  </si>
  <si>
    <t>ओडिशा / Odisha</t>
  </si>
  <si>
    <t>About 23 hours/day</t>
  </si>
  <si>
    <t>* On segregated feeders</t>
  </si>
  <si>
    <t>#  Lakshadweep and Andaman &amp; Nicobar Islands are stand- alone systems,  power supply position of these,does  not form part of regional requirement and energy supplied.</t>
  </si>
  <si>
    <t>NIL</t>
  </si>
  <si>
    <t>*RES as on 31.03.2021</t>
  </si>
  <si>
    <t xml:space="preserve">*  Excludes energy exported to Bangladesh. </t>
  </si>
  <si>
    <t>Target 2021-22</t>
  </si>
  <si>
    <t>Supplied</t>
  </si>
  <si>
    <t xml:space="preserve">  1. Growth Of Rural Electrification &amp; Pumpsets Energisation.</t>
  </si>
  <si>
    <t>2.   Growth of Installed Capacity Since 6th Plan</t>
  </si>
  <si>
    <t>4. All India yearly Coal Consumption for Power Generation (Utilities)</t>
  </si>
  <si>
    <t>5. All India Annual per Capita consumption of Electricity Since 2006</t>
  </si>
  <si>
    <t>6. Average cost of power supply &amp; average realization ( paise/kWh )</t>
  </si>
  <si>
    <t>32-45</t>
  </si>
  <si>
    <t xml:space="preserve">	  CENTRAL ELECTRICITY AUTHORITY
	     G O &amp; D WING
  OPERATION PERFORMANCE MONITORING DIVISION
 ENERGY GENERATION, PROGRAMME, AND PLANT LOAD FACTOR</t>
  </si>
  <si>
    <t>SUB-REPORT 1</t>
  </si>
  <si>
    <t>PERIOD :</t>
  </si>
  <si>
    <t>DATE     :</t>
  </si>
  <si>
    <t>AN OVERVIEW</t>
  </si>
  <si>
    <t>Monitered Capacity
(MW)</t>
  </si>
  <si>
    <t xml:space="preserve">Target </t>
  </si>
  <si>
    <t>Actual Same Month</t>
  </si>
  <si>
    <t>% Of Program
 (4/3)</t>
  </si>
  <si>
    <t>% Of Last Year
(4/5)</t>
  </si>
  <si>
    <t>Actual Same Period</t>
  </si>
  <si>
    <t>% Of Program
(9/8)</t>
  </si>
  <si>
    <t>% Of Last Year
 (9/10)</t>
  </si>
  <si>
    <t>Apr 2021 to  Mar 2022</t>
  </si>
  <si>
    <t>2020-21</t>
  </si>
  <si>
    <t>1</t>
  </si>
  <si>
    <t>2</t>
  </si>
  <si>
    <t>3</t>
  </si>
  <si>
    <t>4</t>
  </si>
  <si>
    <t>5</t>
  </si>
  <si>
    <t>6</t>
  </si>
  <si>
    <t>7</t>
  </si>
  <si>
    <t>8</t>
  </si>
  <si>
    <t>9</t>
  </si>
  <si>
    <t>10</t>
  </si>
  <si>
    <t>12</t>
  </si>
  <si>
    <t>13</t>
  </si>
  <si>
    <t>14</t>
  </si>
  <si>
    <t>15</t>
  </si>
  <si>
    <t>16</t>
  </si>
  <si>
    <t>17</t>
  </si>
  <si>
    <t>18</t>
  </si>
  <si>
    <t xml:space="preserve">      CENTRAL ELECTRICITY AUTHORITY 
           G O &amp; D WING 
           OPERATION PERFORMANCE MONITORING DIVISION</t>
  </si>
  <si>
    <t>SUB- REPORT 2</t>
  </si>
  <si>
    <t xml:space="preserve">                                                    ENERGYWISE - PERFORMANCE STATUS ALL INDIA - REGIONWISE</t>
  </si>
  <si>
    <t>ACTUAL
SAME
MONTH</t>
  </si>
  <si>
    <t xml:space="preserve">% OF
PRO-
GRAM
(4/3)
</t>
  </si>
  <si>
    <t xml:space="preserve">% OF
LAST
YEAR
(4/5)
</t>
  </si>
  <si>
    <t>ACTUAL
SAME
PERIOD</t>
  </si>
  <si>
    <t>% OF
PROGRAM
(9/8)</t>
  </si>
  <si>
    <t>% OF
 LAST
YEAR
(9/10)</t>
  </si>
  <si>
    <t xml:space="preserve">  </t>
  </si>
  <si>
    <t xml:space="preserve">SUB- REPORT 3 </t>
  </si>
  <si>
    <t xml:space="preserve">Monitored
Capacity
(MW) </t>
  </si>
  <si>
    <t xml:space="preserve">% OF
PROGRAM
(4/3)
</t>
  </si>
  <si>
    <t>% OF
LAST
YEAR
(4/5)</t>
  </si>
  <si>
    <t xml:space="preserve">SUB- REPORT 4 </t>
  </si>
  <si>
    <t>% OF
PRO-
GRAM
(4/3)</t>
  </si>
  <si>
    <t xml:space="preserve">% OF
PROGRAM
(9/8)
</t>
  </si>
  <si>
    <t>0.00</t>
  </si>
  <si>
    <t>(All figure in MU)</t>
  </si>
  <si>
    <t xml:space="preserve">पवन ऊर्जा /Wind Energy </t>
  </si>
  <si>
    <t xml:space="preserve">सौर ऊर्जा/Solar Energy </t>
  </si>
  <si>
    <t xml:space="preserve">             Total      (Solar Energy  +Wind Energy) </t>
  </si>
  <si>
    <t xml:space="preserve"> Central Electricity Authority / केन्द्रीय विद्युत प्राधिकरण</t>
  </si>
  <si>
    <t>Renewable Energy Project Monitoring Division/नवीकरणीय ऊर्जा परियोजना प्रबोधन प्रभाग</t>
  </si>
  <si>
    <t>Project</t>
  </si>
  <si>
    <t>Unit</t>
  </si>
  <si>
    <t>Capacity</t>
  </si>
  <si>
    <t>Developer / Imp. Agency</t>
  </si>
  <si>
    <t xml:space="preserve">State </t>
  </si>
  <si>
    <t>Quarterly Schedule</t>
  </si>
  <si>
    <t>Barh STPP Stage I</t>
  </si>
  <si>
    <t>NTPC</t>
  </si>
  <si>
    <t>Darlipalli STPP St-I</t>
  </si>
  <si>
    <t>Nabi Nagar TPP</t>
  </si>
  <si>
    <t>JV of NTPC &amp; Rly</t>
  </si>
  <si>
    <t>Rourkela TPP-II 
Expansion</t>
  </si>
  <si>
    <t>NSPCL  (JV of NTPC &amp; SAIL)</t>
  </si>
  <si>
    <t>Nabi Nagar STPP</t>
  </si>
  <si>
    <t>JV of NTPC &amp; BSPGCL</t>
  </si>
  <si>
    <t>North Karanpura STPP</t>
  </si>
  <si>
    <t>Ghatampur TPP</t>
  </si>
  <si>
    <t>NUPPL (JV of NLC &amp; UPRVUNL)</t>
  </si>
  <si>
    <t xml:space="preserve">Telangana STPP St- I 
</t>
  </si>
  <si>
    <t>Suratgarh SCTPP</t>
  </si>
  <si>
    <t>Bhadradri TPP</t>
  </si>
  <si>
    <t>TSGENCO</t>
  </si>
  <si>
    <t xml:space="preserve">Harduaganj TPS Exp-II   </t>
  </si>
  <si>
    <t>Sri Damodaram TPS St-II</t>
  </si>
  <si>
    <t>APGENCO</t>
  </si>
  <si>
    <t xml:space="preserve">North Chennai TPP St-III </t>
  </si>
  <si>
    <t>TANGEDCO</t>
  </si>
  <si>
    <t>Yelahanka CCPP-Gas</t>
  </si>
  <si>
    <t>GT+ST</t>
  </si>
  <si>
    <t>Dr. Narla Tata Rao TPS St-V</t>
  </si>
  <si>
    <t>Tuticorin Stage-IV</t>
  </si>
  <si>
    <t>SEPC</t>
  </si>
  <si>
    <t>Thottiyar</t>
  </si>
  <si>
    <t>Kerela</t>
  </si>
  <si>
    <t>Pallivasal</t>
  </si>
  <si>
    <t>Bajoli Holi</t>
  </si>
  <si>
    <t>GMR Bajoli Holi Hydro Power pvt. Ltd</t>
  </si>
  <si>
    <t>Himachal Pradesh</t>
  </si>
  <si>
    <t>Sorang</t>
  </si>
  <si>
    <t>Madhya Bharat Power  Corpn.</t>
  </si>
  <si>
    <t>Rongnichu</t>
  </si>
  <si>
    <t>Kakrapar Atomic Power Project</t>
  </si>
  <si>
    <t>As on</t>
  </si>
  <si>
    <t>Tr. Lines (CKm)</t>
  </si>
  <si>
    <t>Substations (MVA)</t>
  </si>
  <si>
    <t>%</t>
  </si>
  <si>
    <t>Tr. Lines 
(CKm)</t>
  </si>
  <si>
    <t>Substations 
(MVA)</t>
  </si>
  <si>
    <t xml:space="preserve"> Executive summary of Target and Achievement of Transmission Lines during 2021-22 </t>
  </si>
  <si>
    <t xml:space="preserve">± 800 kV </t>
  </si>
  <si>
    <t>± 500 kV</t>
  </si>
  <si>
    <t>± 320 kV HVDC</t>
  </si>
  <si>
    <t xml:space="preserve"> Executive summary of Target and Achievement of Substations during 2021-22 </t>
  </si>
  <si>
    <t>(All fig. in MVA)</t>
  </si>
  <si>
    <t>:</t>
  </si>
  <si>
    <t>MW*</t>
  </si>
  <si>
    <t>30000</t>
  </si>
  <si>
    <t>ER-NER</t>
  </si>
  <si>
    <t>ER-WR</t>
  </si>
  <si>
    <t>ER-NR</t>
  </si>
  <si>
    <t>ER-SR</t>
  </si>
  <si>
    <t>NER-NR</t>
  </si>
  <si>
    <t>NR-WR</t>
  </si>
  <si>
    <t>WR-SR</t>
  </si>
  <si>
    <t>27150*</t>
  </si>
  <si>
    <t>47900</t>
  </si>
  <si>
    <t>75050*</t>
  </si>
  <si>
    <t>105050*</t>
  </si>
  <si>
    <t>(UTILITIES)</t>
  </si>
  <si>
    <t>Ownership/ Sector</t>
  </si>
  <si>
    <t xml:space="preserve"> Mode wise breakup</t>
  </si>
  <si>
    <t>RES *  (MNRE)</t>
  </si>
  <si>
    <t>Northern Region</t>
  </si>
  <si>
    <t>Sub Total</t>
  </si>
  <si>
    <t>Western Region</t>
  </si>
  <si>
    <t>Southern Region</t>
  </si>
  <si>
    <t>Eastern Region</t>
  </si>
  <si>
    <t>North Eastern 
Region</t>
  </si>
  <si>
    <t xml:space="preserve">Figures at decimal may not tally due to rounding off </t>
  </si>
  <si>
    <t xml:space="preserve">     Abbreviation:-</t>
  </si>
  <si>
    <t>SHP=Small Hydro Project (≤ 25 MW), BP=Biomass Power, U&amp;I=Urban &amp; Industrial Waste Power, RES=Renewable Energy Sources</t>
  </si>
  <si>
    <t xml:space="preserve">     Note : -   </t>
  </si>
  <si>
    <t xml:space="preserve">  (As per latest information available with MNRE)</t>
  </si>
  <si>
    <t>Small 
Hydro Power</t>
  </si>
  <si>
    <t>Wind Power</t>
  </si>
  <si>
    <t>Bio-Power</t>
  </si>
  <si>
    <t>Solar Power</t>
  </si>
  <si>
    <t>Total 
Capacity</t>
  </si>
  <si>
    <t>BM Power/Cogen.</t>
  </si>
  <si>
    <t>Waste to Energy</t>
  </si>
  <si>
    <t xml:space="preserve">     A.  </t>
  </si>
  <si>
    <t xml:space="preserve">Capacity       Added       during </t>
  </si>
  <si>
    <t xml:space="preserve">     B.  </t>
  </si>
  <si>
    <t xml:space="preserve">Capacity      Retired       during </t>
  </si>
  <si>
    <t xml:space="preserve">     C.  </t>
  </si>
  <si>
    <t xml:space="preserve">     D.  </t>
  </si>
  <si>
    <t xml:space="preserve">Net Conv. Capacity Added during </t>
  </si>
  <si>
    <t>Sector wise breakup of RES capacity as shown is provisional.</t>
  </si>
  <si>
    <t>Share of Railway (750 MW) from NABI NAGAR TPP (750 MW) is included in central sector of Bihar.</t>
  </si>
  <si>
    <t>Share from private sector generating stations has been updated as per latest information available.</t>
  </si>
  <si>
    <t xml:space="preserve">INSTALLED CAPACITY (IN MW) OF POWER UTILITIES IN THE STATES/UTS LOCATED IN 
NORTHERN REGION </t>
  </si>
  <si>
    <t xml:space="preserve">INCLUDING ALLOCATED SHARES IN JOINT &amp; CENTRAL SECTOR UTILITIES </t>
  </si>
  <si>
    <t>RES   (MNRE)</t>
  </si>
  <si>
    <t>Sub-Total</t>
  </si>
  <si>
    <t xml:space="preserve">Himachal Pradesh </t>
  </si>
  <si>
    <t>Jammu &amp; Kashmir and 
Ladakh</t>
  </si>
  <si>
    <t>Central - Unallocated</t>
  </si>
  <si>
    <t>Total (Northern Region)</t>
  </si>
  <si>
    <t xml:space="preserve">INSTALLED CAPACITY (IN MW) OF POWER UTILITIES IN THE STATES/UTS LOCATED IN 
 WESTERN REGION </t>
  </si>
  <si>
    <t>Dadra &amp; Nagar Naveli</t>
  </si>
  <si>
    <t>Total (Western Region)</t>
  </si>
  <si>
    <t xml:space="preserve">INSTALLED CAPACITY (IN MW) OF POWER UTILITIES IN THE STATES/UTS LOCATED IN 
 SOUTHERN REGION </t>
  </si>
  <si>
    <t>Total (Southern Region)</t>
  </si>
  <si>
    <t xml:space="preserve">INSTALLED CAPACITY (IN MW) OF POWER UTILITIES IN THE STATES/UTS LOCATED IN 
 EASTERN REGION </t>
  </si>
  <si>
    <t>Total (Eastern Region)</t>
  </si>
  <si>
    <t xml:space="preserve">INSTALLED CAPACITY (IN MW) OF POWER UTILITIES IN THE STATES/UTS LOCATED IN 
 NORTH-EASTERN REGION </t>
  </si>
  <si>
    <t>Total (North- Eastern Region)</t>
  </si>
  <si>
    <t xml:space="preserve">INSTALLED CAPACITY (IN MW) OF POWER UTILITIES IN THE STATES/UTS LOCATED IN 
 ISLANDS </t>
  </si>
  <si>
    <t>Andaman  &amp; Nicobar</t>
  </si>
  <si>
    <t>Total (Islands)</t>
  </si>
  <si>
    <t>Monthly Comparison of Power Supply Position (Energy) - Provisional</t>
  </si>
  <si>
    <t xml:space="preserve">State / </t>
  </si>
  <si>
    <t>System /</t>
  </si>
  <si>
    <t>Energy Requirement</t>
  </si>
  <si>
    <t>Energy Supplied</t>
  </si>
  <si>
    <t>Energy not Supplied</t>
  </si>
  <si>
    <t xml:space="preserve">Region </t>
  </si>
  <si>
    <t>( % )</t>
  </si>
  <si>
    <t>UT of J&amp;K and Ladakh</t>
  </si>
  <si>
    <t>Dadar Nagar Haveli</t>
  </si>
  <si>
    <t>Lakshadweep #</t>
  </si>
  <si>
    <t xml:space="preserve">West Bengal </t>
  </si>
  <si>
    <t xml:space="preserve"> Sikkim</t>
  </si>
  <si>
    <t>Andaman- Nicobar #</t>
  </si>
  <si>
    <t>Tripura *</t>
  </si>
  <si>
    <t>North-Eastern Region</t>
  </si>
  <si>
    <t xml:space="preserve">All India </t>
  </si>
  <si>
    <t>Monthly Comparison of Power Supply Position (Peak) - Provisional</t>
  </si>
  <si>
    <t>Demand not Met</t>
  </si>
  <si>
    <t>अप्रैल,2021 - मई,2021/ April,2021 to May,2021</t>
  </si>
  <si>
    <t xml:space="preserve">महाराष्ट्र / Maharashtra </t>
  </si>
  <si>
    <t>3:53 to 4 hours/day</t>
  </si>
  <si>
    <t xml:space="preserve">Three-Phase Supply(Irrigation) - 9:52  hours /day,  
Three-Phase (Mixed) Supply - 23:29 hours /day     </t>
  </si>
  <si>
    <t>About 22 hours/day - More than 22 hours/day</t>
  </si>
  <si>
    <t>राज्य/State</t>
  </si>
  <si>
    <t>ऊर्जा आवश्यकता</t>
  </si>
  <si>
    <t>ऊर्जा उपलब्धता</t>
  </si>
  <si>
    <t>ऊर्जा पूर्ति मे कमी</t>
  </si>
  <si>
    <t xml:space="preserve">प्रणाली / System </t>
  </si>
  <si>
    <t>क्षेत्र / Region</t>
  </si>
  <si>
    <t>लक्ष-द्वीप / Lakshadweep  #</t>
  </si>
  <si>
    <t>दामोदर घाटी निगम / DVC</t>
  </si>
  <si>
    <t>अंडमान-निकोबार/ Andaman- Nicobar #</t>
  </si>
  <si>
    <t>त्रिपुरा / Tripura *</t>
  </si>
  <si>
    <t>आँकड़े मेगा वाट नेट / Figures in MW net</t>
  </si>
  <si>
    <t>अधिकतम मांग</t>
  </si>
  <si>
    <t>अधिकतम उपलब्धि</t>
  </si>
  <si>
    <t xml:space="preserve">मांग की पूर्ति मे कमी </t>
  </si>
  <si>
    <t>(vi) Capacity Addition Target and Achievement for 2021-22                                                     (Figures in MW)</t>
  </si>
  <si>
    <t xml:space="preserve"> 1. Executive summary of Target and Achievement of Substations during 2021-22 </t>
  </si>
  <si>
    <t xml:space="preserve">Programme 2021-22 </t>
  </si>
  <si>
    <t xml:space="preserve">1. Executive summary of Target and Achievement of Transmission Lines during 2021-22 </t>
  </si>
  <si>
    <t>Plan Period 2017-22 (Up to Mar-21)</t>
  </si>
  <si>
    <t>Sl. No.</t>
  </si>
  <si>
    <t>Voltage Level (kV)</t>
  </si>
  <si>
    <t>Name of Transmission Lines</t>
  </si>
  <si>
    <t>Circuit Type</t>
  </si>
  <si>
    <t>Executing Agency</t>
  </si>
  <si>
    <t xml:space="preserve"> Line
Length
 (cKM)</t>
  </si>
  <si>
    <t>1.</t>
  </si>
  <si>
    <t>2.</t>
  </si>
  <si>
    <t>3.</t>
  </si>
  <si>
    <t>4.</t>
  </si>
  <si>
    <t>5.</t>
  </si>
  <si>
    <t>6.</t>
  </si>
  <si>
    <t>CENTRAL SECTOR Sector</t>
  </si>
  <si>
    <t>400</t>
  </si>
  <si>
    <t>D/C</t>
  </si>
  <si>
    <t>PGCIL</t>
  </si>
  <si>
    <t>Total of CENTRAL SECTOR</t>
  </si>
  <si>
    <t>STATE SECTOR Sector</t>
  </si>
  <si>
    <t>UPPTCL</t>
  </si>
  <si>
    <t>220</t>
  </si>
  <si>
    <t>OPTCL</t>
  </si>
  <si>
    <t>S/C</t>
  </si>
  <si>
    <t>Total of STATE SECTOR</t>
  </si>
  <si>
    <t>Sl
No</t>
  </si>
  <si>
    <t>Name of
Sub Stations</t>
  </si>
  <si>
    <t>Voltage
Ratio
(kV/kV)</t>
  </si>
  <si>
    <t>Capacity
(MW/MVA)</t>
  </si>
  <si>
    <t xml:space="preserve">  2.</t>
  </si>
  <si>
    <t>400/220</t>
  </si>
  <si>
    <t>220/132</t>
  </si>
  <si>
    <t>220/33</t>
  </si>
  <si>
    <t>STATE</t>
  </si>
  <si>
    <t xml:space="preserve"> STATE / UTILITY</t>
  </si>
  <si>
    <t>NEEPCO</t>
  </si>
  <si>
    <t>NPCIL*</t>
  </si>
  <si>
    <t xml:space="preserve">NLC </t>
  </si>
  <si>
    <t>PRIN</t>
  </si>
  <si>
    <t>SUR</t>
  </si>
  <si>
    <t xml:space="preserve">    </t>
  </si>
  <si>
    <t>UHBVN</t>
  </si>
  <si>
    <t>DHBVN</t>
  </si>
  <si>
    <t>HPPC</t>
  </si>
  <si>
    <t>TOTAL (Haryana)</t>
  </si>
  <si>
    <t>HIMACHAL</t>
  </si>
  <si>
    <t xml:space="preserve">HPSEB </t>
  </si>
  <si>
    <t>Govt.of HP</t>
  </si>
  <si>
    <t>TOTAL (Himachal)</t>
  </si>
  <si>
    <t>DESU</t>
  </si>
  <si>
    <t>DTL /NDMC</t>
  </si>
  <si>
    <t xml:space="preserve">DPCL </t>
  </si>
  <si>
    <t xml:space="preserve">TPDDL </t>
  </si>
  <si>
    <t>BYPL /BSES YAMUNA</t>
  </si>
  <si>
    <t>BRPL/BSES RAJDHANI</t>
  </si>
  <si>
    <t>TOTAL (Delhi)</t>
  </si>
  <si>
    <t>JAMMU &amp; KASHMIR</t>
  </si>
  <si>
    <t>J&amp;K PDD</t>
  </si>
  <si>
    <t>J&amp;K PDCL/JKPCL</t>
  </si>
  <si>
    <t>J&amp;K SPTCL</t>
  </si>
  <si>
    <t>TOTAL (J&amp;K)</t>
  </si>
  <si>
    <t xml:space="preserve">PSEB </t>
  </si>
  <si>
    <t>TOTAL (Punjab)</t>
  </si>
  <si>
    <t>RRVUNL /RSEB</t>
  </si>
  <si>
    <t>RRVPNL</t>
  </si>
  <si>
    <t>JVVNL</t>
  </si>
  <si>
    <t>AVVNL</t>
  </si>
  <si>
    <t>JDVVNL</t>
  </si>
  <si>
    <t>TOTAL (Rajasthan)</t>
  </si>
  <si>
    <t>OTHERS</t>
  </si>
  <si>
    <t>HWB (KOTA)</t>
  </si>
  <si>
    <t xml:space="preserve">UPPCL </t>
  </si>
  <si>
    <t>TOTAL (Uttar Pradesh)</t>
  </si>
  <si>
    <t xml:space="preserve">UPCL </t>
  </si>
  <si>
    <t>CHANDIGARH</t>
  </si>
  <si>
    <t xml:space="preserve">CPDD </t>
  </si>
  <si>
    <t>M/s N.F.L.  Nangal</t>
  </si>
  <si>
    <t>B.S.L. Project S/Nagar</t>
  </si>
  <si>
    <t>Beas Project talwara</t>
  </si>
  <si>
    <t>Irrigation Wing, Nangal</t>
  </si>
  <si>
    <t>TOTAL (Others)</t>
  </si>
  <si>
    <t>TOTAL (Northern Region)</t>
  </si>
  <si>
    <t xml:space="preserve">GUVNL </t>
  </si>
  <si>
    <t>GOA</t>
  </si>
  <si>
    <t xml:space="preserve">GOA ED </t>
  </si>
  <si>
    <t>MPPCL / MPPTCL</t>
  </si>
  <si>
    <t>MPPMCL</t>
  </si>
  <si>
    <t>TOTAL (Madhya Pradesh)</t>
  </si>
  <si>
    <t>CSEB/CSPDCL</t>
  </si>
  <si>
    <t>TOTAL(CHHATTISGARH)</t>
  </si>
  <si>
    <t>MSEDCL</t>
  </si>
  <si>
    <t>DADRA NAGAR &amp; SILVASA</t>
  </si>
  <si>
    <t>Electricity Department</t>
  </si>
  <si>
    <t>DAMAN &amp; DIU</t>
  </si>
  <si>
    <t>TOTAL (Western Region)</t>
  </si>
  <si>
    <t>APEPDCL/APNPDCL /APTRANSCO</t>
  </si>
  <si>
    <t>TOTAL (Andhra Pradesh)</t>
  </si>
  <si>
    <t xml:space="preserve">BESCOM </t>
  </si>
  <si>
    <t xml:space="preserve">MESCOM </t>
  </si>
  <si>
    <t xml:space="preserve">CESCOM </t>
  </si>
  <si>
    <t xml:space="preserve">HESCOM </t>
  </si>
  <si>
    <t xml:space="preserve">GESCOM </t>
  </si>
  <si>
    <t xml:space="preserve">ESCOMS </t>
  </si>
  <si>
    <t>TOTAL (Karnataka)</t>
  </si>
  <si>
    <t xml:space="preserve">TELANGANA </t>
  </si>
  <si>
    <t>TSNPDCL/TSSPDCL</t>
  </si>
  <si>
    <t xml:space="preserve">KSEB </t>
  </si>
  <si>
    <t>TAMILNADU</t>
  </si>
  <si>
    <t xml:space="preserve">TNEB/TANGEDCO </t>
  </si>
  <si>
    <t>PED</t>
  </si>
  <si>
    <t>TOTAL (Southern Region)</t>
  </si>
  <si>
    <t xml:space="preserve"> BIHAR(NBPDCL/SBPCL/BSEB)</t>
  </si>
  <si>
    <t>WBSEB</t>
  </si>
  <si>
    <t>JBVNL/JUVNL</t>
  </si>
  <si>
    <t>GRIDCO</t>
  </si>
  <si>
    <t>TOTAL (Eastern Region)</t>
  </si>
  <si>
    <t>ARUNACHAL PRADESH</t>
  </si>
  <si>
    <t>Department of Power</t>
  </si>
  <si>
    <t>APDCL</t>
  </si>
  <si>
    <t>MEGHALAYA</t>
  </si>
  <si>
    <t xml:space="preserve"> MeEcl/MeSEB </t>
  </si>
  <si>
    <t>MIZORAM</t>
  </si>
  <si>
    <t>TSECL</t>
  </si>
  <si>
    <t>TOTAL (NE Region)</t>
  </si>
  <si>
    <t>Electricity Deptt</t>
  </si>
  <si>
    <t>NVVN</t>
  </si>
  <si>
    <t>GRAND-TOTAL</t>
  </si>
  <si>
    <t>Note * :Rebates availed by utilities are taken into considertion in Realization of outstanding dues  at the end of the month.</t>
  </si>
  <si>
    <t>Total (Haryana)</t>
  </si>
  <si>
    <t>Total (Himachal)</t>
  </si>
  <si>
    <t>Total (Delhi)</t>
  </si>
  <si>
    <t>Total (J&amp;K)</t>
  </si>
  <si>
    <t>Total (Punjab)</t>
  </si>
  <si>
    <t>Total (Rajasthan)</t>
  </si>
  <si>
    <t>Total (Uttar Pradesh)</t>
  </si>
  <si>
    <t xml:space="preserve">Goa ED </t>
  </si>
  <si>
    <t>Total (Madhya Pradesh)</t>
  </si>
  <si>
    <t>Total(Chhattisgarh)</t>
  </si>
  <si>
    <t>Total (Andhra Pradesh)</t>
  </si>
  <si>
    <t>Total (Karnataka)</t>
  </si>
  <si>
    <t>Check</t>
  </si>
  <si>
    <t>All Figures in Rs Crores</t>
  </si>
  <si>
    <t>Plan Period 2017-22 (Up to June-21)</t>
  </si>
  <si>
    <t>Jun-2021</t>
  </si>
  <si>
    <t>APRIL 2021-Jun-2021</t>
  </si>
  <si>
    <t>PERIOD:JUN-2021 VIS-A-VIS  JUN-2020 AND  APR-JUN-2021 VIS-A-VIS  APR-JUN-2020</t>
  </si>
  <si>
    <t>JUN-2021</t>
  </si>
  <si>
    <t>APRIL 2021 - JUN-2021</t>
  </si>
  <si>
    <t>PROVISIONAL RENEWABLE  ENERGY GENERATION REPORT JUNE 2021.</t>
  </si>
  <si>
    <t>Calculation for provisional RE Generation during June   2021</t>
  </si>
  <si>
    <t>Provisional RE generation of June  2021</t>
  </si>
  <si>
    <t>RE generation in  June  2020</t>
  </si>
  <si>
    <t xml:space="preserve">Total All india( RE)-April 2021 to June 2021(Provisional)in MUs </t>
  </si>
  <si>
    <t xml:space="preserve">Total All india( RE)-April 2020 to  June 2020 in MUs </t>
  </si>
  <si>
    <t>3) # Delhi Solar generation data as per RE generation report of  May 2021.</t>
  </si>
  <si>
    <t>4) * As per RE generation report of  May  2021.</t>
  </si>
  <si>
    <t>Category</t>
  </si>
  <si>
    <t>Installed Capacity (MW) (as on 31.05.2021)</t>
  </si>
  <si>
    <t>RE Generation(MU) May'2020</t>
  </si>
  <si>
    <t>RE Generation(MU) May'2021</t>
  </si>
  <si>
    <t xml:space="preserve">% Of same period Last Year </t>
  </si>
  <si>
    <t>RE Generation(MU) April'2020- May'2020</t>
  </si>
  <si>
    <t>RE Generation(MU) April'2021- May'2021</t>
  </si>
  <si>
    <t>13th Plan (Up to Jun-21)</t>
  </si>
  <si>
    <t>Total IR (up to Jun-21)</t>
  </si>
  <si>
    <t>As on Jun-21</t>
  </si>
  <si>
    <t>Upto Jun-21</t>
  </si>
  <si>
    <t>Progress of Transmission Sector in the Country up to Jun-21</t>
  </si>
  <si>
    <t>Plan Period 2017-22 (Up to Jun-21)</t>
  </si>
  <si>
    <t>± 320 kV</t>
  </si>
  <si>
    <t>Progress of Substations in the Country up to Jun-21</t>
  </si>
  <si>
    <t>Growth of Inter-regional (IR) Transmission Capacity (MW) (As on Jun-21)</t>
  </si>
  <si>
    <t>Inter-regional  Transmission Capacity added during  Plan Period 2017-22 (as on Jun-21)</t>
  </si>
  <si>
    <t>Inter-regional  Transmission Capacity at the end of  Plan Period 2017-22 (as on Jun-21)</t>
  </si>
  <si>
    <t>Plan Period 2017-22 Addition (as on Jun-21)</t>
  </si>
  <si>
    <t>IR Transmission Capacity (as on Jun-21)</t>
  </si>
  <si>
    <t>Transmission Lines (220 kV and above) Commissioned/Ready for commissioning During Jun-2021</t>
  </si>
  <si>
    <t>As on 30-Jun-2021</t>
  </si>
  <si>
    <t>TSTRANSCO</t>
  </si>
  <si>
    <t>JKPDD</t>
  </si>
  <si>
    <t>DCDS</t>
  </si>
  <si>
    <t>MPPTCL</t>
  </si>
  <si>
    <t>Sub-Stations (220 kV and above)  Commissioned/Ready for commissioning During -JUN 2021</t>
  </si>
  <si>
    <t>VSC based HVDC Terminal at Pugalur and North Trishur (2000MW) (Monopole-I)</t>
  </si>
  <si>
    <t>320</t>
  </si>
  <si>
    <t>Ujjain S/S (T/F-II)</t>
  </si>
  <si>
    <t>BTPS Switchyard</t>
  </si>
  <si>
    <t>Markook LIS s/s (Station PTR-I)</t>
  </si>
  <si>
    <t>220/11</t>
  </si>
  <si>
    <t>Mupkal LIS s/s (T/F-I and II) (2x60 MVA)</t>
  </si>
  <si>
    <t>Ujjain S/S (160)</t>
  </si>
  <si>
    <t>Pratapsasan S/s (T/F-I)</t>
  </si>
  <si>
    <t>Akkaram LIS s/s (Aug) (Pump T/F-II to VI) (5x31.5MVA)</t>
  </si>
  <si>
    <t>Phaltan S/s (Addl T/F)</t>
  </si>
  <si>
    <t>MSETCL</t>
  </si>
  <si>
    <t>Bheemghanpur</t>
  </si>
  <si>
    <t>Chanchalguda GIS (3x50 MVA)</t>
  </si>
  <si>
    <t>Rampur Kamboyan (Aug.)</t>
  </si>
  <si>
    <t>220/66</t>
  </si>
  <si>
    <t>HVPNL</t>
  </si>
  <si>
    <t>Kothur s/s (2x160 MVA)</t>
  </si>
  <si>
    <t>Akkaram LIS s/s (Station T/F-I and II) and (Pump T/F-I) (3x31.5MVA)</t>
  </si>
  <si>
    <t>Markook LIS s/s (16 MVA Station PTR-II) and (6x40 MVA Pump PTR- I to VI)</t>
  </si>
  <si>
    <t>(As on 30.06.2021)</t>
  </si>
  <si>
    <t>1. RES include SHP, BP, U&amp;I, Solar  and  Wind  Energy. Installed capacity in respect of RES (MNRE) as on 30.06.2021</t>
  </si>
  <si>
    <t>*Break up of RES all India as on 30.06.2021 is given below  (in MW) :</t>
  </si>
  <si>
    <t>June., 2021</t>
  </si>
  <si>
    <t>113 MW</t>
  </si>
  <si>
    <t>1. Unit-1&amp;2 (56.5*2 = 113 MW) of RONGNICHU HPS has been commissioned and added to private sector of Sikkim.</t>
  </si>
  <si>
    <t>670 MW</t>
  </si>
  <si>
    <t>1. Unit-3 (210 MW) of BOKARO `B` TPS has been retired from central sector of Eastern Region w.e.f. 01.04.2021</t>
  </si>
  <si>
    <t>2. Unit-1 to 6 (4*60 MW + 2*110 MW = 460 MW) of TALCHER (OLD) TPS has been retired from central sector of Eastern Region w.e.f. 01.04.2021</t>
  </si>
  <si>
    <t>A-B</t>
  </si>
  <si>
    <t>-557 MW</t>
  </si>
  <si>
    <t xml:space="preserve">Net RES Capacity Added during </t>
  </si>
  <si>
    <t>1299.26 MW</t>
  </si>
  <si>
    <t>E.</t>
  </si>
  <si>
    <t xml:space="preserve">Net Capacity Added during </t>
  </si>
  <si>
    <t>C+D</t>
  </si>
  <si>
    <t>742.26 MW</t>
  </si>
  <si>
    <t>Allocation from central sector stations has been updated till 31.05.2021.</t>
  </si>
  <si>
    <t>June,2021</t>
  </si>
  <si>
    <t>June,2020</t>
  </si>
  <si>
    <t>अप्रैल,2021 - जून,2021/ April,2021 to June,2021</t>
  </si>
  <si>
    <t>जून,2021 कृषि क्षेत्र को विद्युत आपूर्ति का विवरण / Power Supply to Agricultural Sector during June,2021</t>
  </si>
  <si>
    <t>जून,2021/June,2021</t>
  </si>
  <si>
    <t>18:05 hours/day</t>
  </si>
  <si>
    <t>18:01 to 18:05 hours/day</t>
  </si>
  <si>
    <t>ऊर्जा विद्युत आपूर्ति स्थिति रिपोर्ट (संशोधित) /Energy Power Supply Position Report (Revised)</t>
  </si>
  <si>
    <t>आँकड़े मिलियन यूनिट नेट / Figures in MU net</t>
  </si>
  <si>
    <t>मई,2021 / May,2021</t>
  </si>
  <si>
    <t>दादर व नगर हवेली/Dadra &amp; Nagar Haveli</t>
  </si>
  <si>
    <t>#  Lakshadweep and Andaman &amp; Nicobar Islands are stand- alone systems,  power supply position of these, does not form part of regional requirement and energy supplied.</t>
  </si>
  <si>
    <t>* Excludes energy exported to Bangladesh.</t>
  </si>
  <si>
    <t>अधिकतम विद्युत आपूर्ति स्थिति रिपोर्ट (संशोधित) /Peak Power Supply Position Report (Revised)</t>
  </si>
  <si>
    <t xml:space="preserve">दादर व नगर हवेली/Dadra &amp; Nagar Haveli
</t>
  </si>
  <si>
    <t>पूर्वी क्षेत्र / Eastern Region</t>
  </si>
  <si>
    <t xml:space="preserve">उत्तर-पूर्वी क्षेत्र /North-Eastern Region      </t>
  </si>
  <si>
    <t>#  Lakshadweep and Andaman &amp; Nicobar Islands are stand- alone systems,  power supply position of these, does not form part of regional requirement and supply.</t>
  </si>
  <si>
    <t>* Excludes the supply to Bangladesh.</t>
  </si>
  <si>
    <t>Note:  Power Supply Position Report has been compiled based on the data furnished by StateUtilities/ Electricity Departments. The MW figures has been rounded off to nearest unit place.</t>
  </si>
  <si>
    <t>tang</t>
  </si>
  <si>
    <t>Rongnichu Unit 1 &amp; 2 of Madhya Bharat Power Corpn. Sikkim 56.489 MW each commissioned on  25.06.2021 &amp; 30.06.2021 respectively</t>
  </si>
  <si>
    <t>Rate of sale of power for the year 2018-19</t>
  </si>
  <si>
    <t>Target  (2021-22)</t>
  </si>
  <si>
    <r>
      <t>±</t>
    </r>
    <r>
      <rPr>
        <b/>
        <sz val="11"/>
        <rFont val="Arial"/>
        <family val="2"/>
      </rPr>
      <t xml:space="preserve"> 320 kV</t>
    </r>
  </si>
  <si>
    <t>+/- 320 KV HVDC</t>
  </si>
  <si>
    <t xml:space="preserve">Note: 1) All figures are provisional  </t>
  </si>
  <si>
    <t xml:space="preserve"> ALL INDIA  INSTALLED CAPACITY (IN MW) OF POWER STATIONS LOCATED IN THE  REGIONS OF MAIN LAND AND ISLANDS </t>
  </si>
  <si>
    <r>
      <rPr>
        <sz val="10"/>
        <color indexed="8"/>
        <rFont val="SansSerif"/>
      </rPr>
      <t>Jigmeling - Alipurdauar line (Q) (India Side)</t>
    </r>
  </si>
  <si>
    <r>
      <rPr>
        <sz val="10"/>
        <color indexed="8"/>
        <rFont val="SansSerif"/>
      </rPr>
      <t>LILO of Sagardighi - Subhasgram line at Jeerat</t>
    </r>
  </si>
  <si>
    <r>
      <rPr>
        <sz val="10"/>
        <color indexed="8"/>
        <rFont val="SansSerif"/>
      </rPr>
      <t>Akkaram-Markook</t>
    </r>
  </si>
  <si>
    <r>
      <rPr>
        <sz val="10"/>
        <color indexed="8"/>
        <rFont val="SansSerif"/>
      </rPr>
      <t>Greater Noida (765) - Integrated township Gr. Noida line</t>
    </r>
  </si>
  <si>
    <r>
      <rPr>
        <sz val="10"/>
        <color indexed="8"/>
        <rFont val="SansSerif"/>
      </rPr>
      <t>LILO of Nirmal - Renzal at Mupkal</t>
    </r>
  </si>
  <si>
    <r>
      <rPr>
        <sz val="10"/>
        <color indexed="8"/>
        <rFont val="SansSerif"/>
      </rPr>
      <t>LILO of one Ckt. of Mamidipally - Shadnagar at Kothur S/S</t>
    </r>
  </si>
  <si>
    <r>
      <rPr>
        <sz val="10"/>
        <color indexed="8"/>
        <rFont val="SansSerif"/>
      </rPr>
      <t>LILO of one Ckt. of Shamshabad - Kethireddypalli (Manikonda) at Kothur S/S</t>
    </r>
  </si>
  <si>
    <r>
      <rPr>
        <sz val="10"/>
        <color indexed="8"/>
        <rFont val="SansSerif"/>
      </rPr>
      <t>Manuguru - BTPS</t>
    </r>
  </si>
  <si>
    <r>
      <rPr>
        <sz val="10"/>
        <color indexed="8"/>
        <rFont val="SansSerif"/>
      </rPr>
      <t>(PMDP - Jammu) LILO of Hiranagar - Bishnah at Jatwal Grid station</t>
    </r>
  </si>
  <si>
    <r>
      <rPr>
        <sz val="10"/>
        <color indexed="8"/>
        <rFont val="SansSerif"/>
      </rPr>
      <t>Rajgarh (B) - Susner (Nalkheda)</t>
    </r>
  </si>
  <si>
    <r>
      <rPr>
        <sz val="10"/>
        <color indexed="8"/>
        <rFont val="SansSerif"/>
      </rPr>
      <t>Ramadugu - Rampur</t>
    </r>
  </si>
  <si>
    <r>
      <rPr>
        <sz val="10"/>
        <color indexed="8"/>
        <rFont val="SansSerif"/>
      </rPr>
      <t>Ujjain - Susner (Nalkheda) (GEC)</t>
    </r>
  </si>
</sst>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44" formatCode="_(&quot;$&quot;* #,##0.00_);_(&quot;$&quot;* \(#,##0.00\);_(&quot;$&quot;* &quot;-&quot;??_);_(@_)"/>
    <numFmt numFmtId="43" formatCode="_(* #,##0.00_);_(* \(#,##0.00\);_(* &quot;-&quot;??_);_(@_)"/>
    <numFmt numFmtId="164" formatCode="0.000"/>
    <numFmt numFmtId="165" formatCode="0.0"/>
    <numFmt numFmtId="166" formatCode="_-* #,##0_-;\-* #,##0_-;_-* &quot;-&quot;_-;_-@_-"/>
    <numFmt numFmtId="167" formatCode="_-* #,##0.00_-;\-* #,##0.00_-;_-* &quot;-&quot;??_-;_-@_-"/>
    <numFmt numFmtId="168" formatCode="#,##0.0_);\(#,##0.0\)"/>
    <numFmt numFmtId="169" formatCode="0.00_)"/>
    <numFmt numFmtId="170" formatCode="_-* #,##0\ &quot;F&quot;_-;\-* #,##0\ &quot;F&quot;_-;_-* &quot;-&quot;\ &quot;F&quot;_-;_-@_-"/>
    <numFmt numFmtId="171" formatCode="_-* #,##0\ _F_-;\-* #,##0\ _F_-;_-* &quot;-&quot;\ _F_-;_-@_-"/>
    <numFmt numFmtId="172" formatCode="_-* #,##0.00\ &quot;F&quot;_-;\-* #,##0.00\ &quot;F&quot;_-;_-* &quot;-&quot;??\ &quot;F&quot;_-;_-@_-"/>
    <numFmt numFmtId="173" formatCode="&quot;₹&quot;#,##0.0000_);\(&quot;₹&quot;#,##0.0000\)"/>
    <numFmt numFmtId="174" formatCode="#,##0\ &quot;F&quot;;[Red]\-#,##0\ &quot;F&quot;"/>
    <numFmt numFmtId="175" formatCode="&quot;₹&quot;#,##0;\-&quot;₹&quot;#,##0"/>
    <numFmt numFmtId="176" formatCode="_(&quot;₹&quot;* #,##0.0000000_);_(&quot;₹&quot;* \(#,##0.0000000\);_(&quot;₹&quot;* &quot;-&quot;??_);_(@_)"/>
    <numFmt numFmtId="177" formatCode="00000"/>
    <numFmt numFmtId="178" formatCode="_(\$* #,##0.00_);_(\$* \(#,##0.00\);_(\$* \-??_);_(@_)"/>
    <numFmt numFmtId="179" formatCode="[$-409]d\-mmm\-yy;@"/>
    <numFmt numFmtId="180" formatCode="[$-409]mmm\-yy;@"/>
    <numFmt numFmtId="181" formatCode="#,##0.0000"/>
    <numFmt numFmtId="182" formatCode="[$-409]mmm/yy;@"/>
    <numFmt numFmtId="183" formatCode="[$-409]mmmm\-yy;@"/>
    <numFmt numFmtId="184" formatCode="#,##0.0"/>
    <numFmt numFmtId="185" formatCode="0.0000000000000"/>
    <numFmt numFmtId="186" formatCode="[$-409]d/mmm/yy;@"/>
    <numFmt numFmtId="187" formatCode="0."/>
    <numFmt numFmtId="188" formatCode="mmmm\-yyyy"/>
    <numFmt numFmtId="189" formatCode="mmmm/yyyy"/>
    <numFmt numFmtId="190" formatCode="#0"/>
  </numFmts>
  <fonts count="25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name val="Times New Roman"/>
      <family val="1"/>
    </font>
    <font>
      <b/>
      <sz val="12"/>
      <name val="Times New Roman"/>
      <family val="1"/>
    </font>
    <font>
      <sz val="8"/>
      <name val="Arial"/>
      <family val="2"/>
    </font>
    <font>
      <sz val="14"/>
      <name val="Arial"/>
      <family val="2"/>
    </font>
    <font>
      <b/>
      <sz val="12"/>
      <name val="Arial"/>
      <family val="2"/>
    </font>
    <font>
      <sz val="10"/>
      <name val="Arial"/>
      <family val="2"/>
    </font>
    <font>
      <b/>
      <sz val="10"/>
      <name val="Arial"/>
      <family val="2"/>
    </font>
    <font>
      <sz val="12"/>
      <name val="Arial"/>
      <family val="2"/>
    </font>
    <font>
      <sz val="12"/>
      <name val="Times New Roman"/>
      <family val="1"/>
    </font>
    <font>
      <sz val="11"/>
      <color indexed="8"/>
      <name val="Tahoma"/>
      <family val="2"/>
    </font>
    <font>
      <sz val="11"/>
      <color indexed="9"/>
      <name val="Tahoma"/>
      <family val="2"/>
    </font>
    <font>
      <sz val="11"/>
      <color indexed="20"/>
      <name val="Tahoma"/>
      <family val="2"/>
    </font>
    <font>
      <b/>
      <sz val="11"/>
      <color indexed="52"/>
      <name val="Tahoma"/>
      <family val="2"/>
    </font>
    <font>
      <b/>
      <sz val="11"/>
      <color indexed="9"/>
      <name val="Tahoma"/>
      <family val="2"/>
    </font>
    <font>
      <sz val="10"/>
      <name val="MS Serif"/>
      <family val="1"/>
    </font>
    <font>
      <sz val="10"/>
      <name val="Courier"/>
      <family val="3"/>
    </font>
    <font>
      <sz val="10"/>
      <color indexed="16"/>
      <name val="MS Serif"/>
      <family val="1"/>
    </font>
    <font>
      <i/>
      <sz val="11"/>
      <color indexed="23"/>
      <name val="Tahoma"/>
      <family val="2"/>
    </font>
    <font>
      <sz val="11"/>
      <color indexed="17"/>
      <name val="Tahoma"/>
      <family val="2"/>
    </font>
    <font>
      <sz val="8"/>
      <name val="Arial"/>
      <family val="2"/>
    </font>
    <font>
      <b/>
      <sz val="15"/>
      <color indexed="56"/>
      <name val="Tahoma"/>
      <family val="2"/>
    </font>
    <font>
      <b/>
      <sz val="13"/>
      <color indexed="56"/>
      <name val="Tahoma"/>
      <family val="2"/>
    </font>
    <font>
      <b/>
      <sz val="11"/>
      <color indexed="56"/>
      <name val="Tahoma"/>
      <family val="2"/>
    </font>
    <font>
      <sz val="11"/>
      <color indexed="62"/>
      <name val="Tahoma"/>
      <family val="2"/>
    </font>
    <font>
      <sz val="12"/>
      <name val="Helv"/>
    </font>
    <font>
      <sz val="11"/>
      <color indexed="52"/>
      <name val="Tahoma"/>
      <family val="2"/>
    </font>
    <font>
      <sz val="12"/>
      <color indexed="9"/>
      <name val="Helv"/>
    </font>
    <font>
      <sz val="11"/>
      <color indexed="60"/>
      <name val="Tahoma"/>
      <family val="2"/>
    </font>
    <font>
      <b/>
      <i/>
      <sz val="16"/>
      <name val="Helv"/>
    </font>
    <font>
      <sz val="12"/>
      <name val="Arial"/>
      <family val="2"/>
    </font>
    <font>
      <b/>
      <sz val="11"/>
      <color indexed="63"/>
      <name val="Tahoma"/>
      <family val="2"/>
    </font>
    <font>
      <sz val="10"/>
      <name val="Tms Rmn"/>
    </font>
    <font>
      <sz val="10"/>
      <name val="MS Sans Serif"/>
      <family val="2"/>
    </font>
    <font>
      <b/>
      <sz val="8"/>
      <color indexed="8"/>
      <name val="Helv"/>
    </font>
    <font>
      <b/>
      <sz val="18"/>
      <color indexed="56"/>
      <name val="Cambria"/>
      <family val="2"/>
    </font>
    <font>
      <b/>
      <sz val="11"/>
      <color indexed="8"/>
      <name val="Tahoma"/>
      <family val="2"/>
    </font>
    <font>
      <sz val="11"/>
      <color indexed="10"/>
      <name val="Tahoma"/>
      <family val="2"/>
    </font>
    <font>
      <b/>
      <sz val="14"/>
      <name val="Times New Roman"/>
      <family val="1"/>
    </font>
    <font>
      <b/>
      <sz val="11"/>
      <name val="Arial"/>
      <family val="2"/>
    </font>
    <font>
      <b/>
      <sz val="10"/>
      <name val="Times New Roman"/>
      <family val="1"/>
    </font>
    <font>
      <sz val="10"/>
      <name val="Times New Roman"/>
      <family val="1"/>
    </font>
    <font>
      <sz val="11"/>
      <name val="Times New Roman"/>
      <family val="1"/>
    </font>
    <font>
      <b/>
      <sz val="9"/>
      <name val="Arial"/>
      <family val="2"/>
    </font>
    <font>
      <b/>
      <sz val="14"/>
      <name val="Tahoma"/>
      <family val="2"/>
    </font>
    <font>
      <b/>
      <sz val="16"/>
      <name val="APS-C-DV-Prakash"/>
    </font>
    <font>
      <sz val="12"/>
      <name val="Tahoma"/>
      <family val="2"/>
    </font>
    <font>
      <sz val="16"/>
      <name val="APS-C-DV-Prakash"/>
    </font>
    <font>
      <sz val="14"/>
      <name val="Tahoma"/>
      <family val="2"/>
    </font>
    <font>
      <sz val="11"/>
      <name val="Arial"/>
      <family val="2"/>
    </font>
    <font>
      <b/>
      <u/>
      <sz val="10"/>
      <name val="Times New Roman"/>
      <family val="1"/>
    </font>
    <font>
      <b/>
      <sz val="10"/>
      <name val="Arial"/>
      <family val="2"/>
    </font>
    <font>
      <sz val="10"/>
      <name val="Arial"/>
      <family val="2"/>
    </font>
    <font>
      <b/>
      <sz val="11"/>
      <color indexed="8"/>
      <name val="Calibri"/>
      <family val="2"/>
    </font>
    <font>
      <b/>
      <sz val="14"/>
      <name val="Arial"/>
      <family val="2"/>
    </font>
    <font>
      <sz val="16"/>
      <name val="APS-C-DV-Chetana"/>
    </font>
    <font>
      <sz val="10"/>
      <color indexed="9"/>
      <name val="Times New Roman"/>
      <family val="1"/>
    </font>
    <font>
      <b/>
      <sz val="10"/>
      <color indexed="9"/>
      <name val="Times New Roman"/>
      <family val="1"/>
    </font>
    <font>
      <sz val="10"/>
      <color indexed="9"/>
      <name val="Arial"/>
      <family val="2"/>
    </font>
    <font>
      <b/>
      <sz val="8"/>
      <name val="Arial"/>
      <family val="2"/>
    </font>
    <font>
      <sz val="10"/>
      <color indexed="8"/>
      <name val="Arial"/>
      <family val="2"/>
    </font>
    <font>
      <sz val="9"/>
      <name val="Arial"/>
      <family val="2"/>
    </font>
    <font>
      <sz val="12"/>
      <color indexed="62"/>
      <name val="Arial"/>
      <family val="2"/>
    </font>
    <font>
      <b/>
      <sz val="16"/>
      <name val="Arial"/>
      <family val="2"/>
    </font>
    <font>
      <b/>
      <sz val="14"/>
      <color indexed="10"/>
      <name val="Times New Roman"/>
      <family val="1"/>
    </font>
    <font>
      <sz val="14"/>
      <name val="Times New Roman"/>
      <family val="1"/>
    </font>
    <font>
      <b/>
      <sz val="12"/>
      <color indexed="10"/>
      <name val="Times New Roman"/>
      <family val="1"/>
    </font>
    <font>
      <sz val="14"/>
      <color indexed="10"/>
      <name val="Times New Roman"/>
      <family val="1"/>
    </font>
    <font>
      <b/>
      <sz val="10"/>
      <color indexed="10"/>
      <name val="Times New Roman"/>
      <family val="1"/>
    </font>
    <font>
      <sz val="10"/>
      <color indexed="10"/>
      <name val="Times New Roman"/>
      <family val="1"/>
    </font>
    <font>
      <sz val="7"/>
      <name val="Arial"/>
      <family val="2"/>
    </font>
    <font>
      <b/>
      <sz val="14"/>
      <name val="APS-C-DV-Chetana"/>
    </font>
    <font>
      <sz val="14"/>
      <color indexed="10"/>
      <name val="Arial"/>
      <family val="2"/>
    </font>
    <font>
      <b/>
      <sz val="12"/>
      <color indexed="41"/>
      <name val="Arial"/>
      <family val="2"/>
    </font>
    <font>
      <b/>
      <sz val="12"/>
      <color indexed="41"/>
      <name val="Times New Roman"/>
      <family val="1"/>
    </font>
    <font>
      <b/>
      <sz val="10"/>
      <color indexed="8"/>
      <name val="SansSerif"/>
    </font>
    <font>
      <b/>
      <sz val="11"/>
      <name val="Times New Roman"/>
      <family val="1"/>
    </font>
    <font>
      <b/>
      <sz val="16"/>
      <color indexed="18"/>
      <name val="Arial"/>
      <family val="2"/>
    </font>
    <font>
      <b/>
      <sz val="10"/>
      <color indexed="18"/>
      <name val="Arial"/>
      <family val="2"/>
    </font>
    <font>
      <b/>
      <sz val="10"/>
      <color indexed="18"/>
      <name val="Arial"/>
      <family val="2"/>
    </font>
    <font>
      <b/>
      <sz val="10"/>
      <color indexed="18"/>
      <name val="Times New Roman"/>
      <family val="1"/>
    </font>
    <font>
      <sz val="10"/>
      <color indexed="18"/>
      <name val="Arial"/>
      <family val="2"/>
    </font>
    <font>
      <sz val="9"/>
      <color indexed="18"/>
      <name val="Arial"/>
      <family val="2"/>
    </font>
    <font>
      <b/>
      <sz val="12"/>
      <color indexed="18"/>
      <name val="Arial"/>
      <family val="2"/>
    </font>
    <font>
      <b/>
      <sz val="14"/>
      <color indexed="18"/>
      <name val="Arial"/>
      <family val="2"/>
    </font>
    <font>
      <sz val="10"/>
      <color indexed="18"/>
      <name val="Arial"/>
      <family val="2"/>
    </font>
    <font>
      <b/>
      <sz val="16"/>
      <color indexed="56"/>
      <name val="Arial"/>
      <family val="2"/>
    </font>
    <font>
      <b/>
      <sz val="12"/>
      <color indexed="9"/>
      <name val="Arial"/>
      <family val="2"/>
    </font>
    <font>
      <b/>
      <sz val="14"/>
      <color indexed="9"/>
      <name val="Arial"/>
      <family val="2"/>
    </font>
    <font>
      <b/>
      <sz val="11"/>
      <color indexed="9"/>
      <name val="Arial"/>
      <family val="2"/>
    </font>
    <font>
      <sz val="14"/>
      <name val="Arial"/>
      <family val="2"/>
    </font>
    <font>
      <b/>
      <sz val="12"/>
      <name val="Arial"/>
      <family val="2"/>
    </font>
    <font>
      <sz val="10"/>
      <color indexed="62"/>
      <name val="Times New Roman"/>
      <family val="1"/>
    </font>
    <font>
      <b/>
      <sz val="14"/>
      <color indexed="41"/>
      <name val="Arial"/>
      <family val="2"/>
    </font>
    <font>
      <b/>
      <sz val="13"/>
      <color indexed="41"/>
      <name val="Arial"/>
      <family val="2"/>
    </font>
    <font>
      <sz val="14"/>
      <name val="Mangal"/>
      <family val="1"/>
    </font>
    <font>
      <b/>
      <sz val="14"/>
      <name val="Mangal"/>
      <family val="1"/>
    </font>
    <font>
      <b/>
      <sz val="16"/>
      <name val="Mangal"/>
      <family val="1"/>
    </font>
    <font>
      <sz val="12"/>
      <name val="Mangal"/>
      <family val="1"/>
    </font>
    <font>
      <sz val="16"/>
      <name val="Mangal"/>
      <family val="1"/>
    </font>
    <font>
      <sz val="14"/>
      <color indexed="9"/>
      <name val="Arial"/>
      <family val="2"/>
    </font>
    <font>
      <sz val="11"/>
      <name val="Arial"/>
      <family val="2"/>
    </font>
    <font>
      <sz val="12"/>
      <color indexed="9"/>
      <name val="Arial"/>
      <family val="2"/>
    </font>
    <font>
      <sz val="16"/>
      <name val="Arial"/>
      <family val="2"/>
    </font>
    <font>
      <sz val="10"/>
      <name val="Arial"/>
      <family val="2"/>
    </font>
    <font>
      <sz val="22"/>
      <color indexed="54"/>
      <name val="Arial Black"/>
      <family val="2"/>
    </font>
    <font>
      <sz val="16"/>
      <name val="Arial"/>
      <family val="2"/>
    </font>
    <font>
      <sz val="22"/>
      <name val="Arial"/>
      <family val="2"/>
    </font>
    <font>
      <sz val="14"/>
      <color indexed="18"/>
      <name val="Arial"/>
      <family val="2"/>
    </font>
    <font>
      <sz val="16"/>
      <color indexed="18"/>
      <name val="Arial"/>
      <family val="2"/>
    </font>
    <font>
      <sz val="10"/>
      <name val="Tahoma"/>
      <family val="2"/>
    </font>
    <font>
      <sz val="12"/>
      <name val="Arial"/>
      <family val="2"/>
    </font>
    <font>
      <b/>
      <i/>
      <sz val="11"/>
      <color indexed="60"/>
      <name val="Arial"/>
      <family val="2"/>
    </font>
    <font>
      <b/>
      <i/>
      <sz val="10"/>
      <color indexed="60"/>
      <name val="Arial"/>
      <family val="2"/>
    </font>
    <font>
      <i/>
      <sz val="10"/>
      <name val="Arial"/>
      <family val="2"/>
    </font>
    <font>
      <b/>
      <sz val="8"/>
      <name val="Times New Roman"/>
      <family val="1"/>
    </font>
    <font>
      <sz val="12"/>
      <name val="Arial"/>
      <family val="2"/>
    </font>
    <font>
      <sz val="10"/>
      <name val="Arial"/>
      <family val="2"/>
      <charset val="1"/>
    </font>
    <font>
      <b/>
      <sz val="18"/>
      <name val="Arial Unicode MS"/>
      <family val="2"/>
    </font>
    <font>
      <b/>
      <sz val="16"/>
      <name val="Arial Unicode MS"/>
      <family val="2"/>
    </font>
    <font>
      <b/>
      <sz val="18"/>
      <color indexed="10"/>
      <name val="APS-C-DV-Prakash"/>
    </font>
    <font>
      <b/>
      <sz val="9"/>
      <color indexed="81"/>
      <name val="Tahoma"/>
      <family val="2"/>
    </font>
    <font>
      <sz val="9"/>
      <color indexed="81"/>
      <name val="Tahoma"/>
      <family val="2"/>
    </font>
    <font>
      <b/>
      <sz val="10"/>
      <color indexed="9"/>
      <name val="Arial"/>
      <family val="2"/>
    </font>
    <font>
      <sz val="11"/>
      <color theme="1"/>
      <name val="Calibri"/>
      <family val="2"/>
      <scheme val="minor"/>
    </font>
    <font>
      <sz val="11"/>
      <color rgb="FF000000"/>
      <name val="Calibri"/>
      <family val="2"/>
      <charset val="204"/>
    </font>
    <font>
      <b/>
      <sz val="10"/>
      <color theme="0"/>
      <name val="Times New Roman"/>
      <family val="1"/>
    </font>
    <font>
      <sz val="10"/>
      <color theme="0"/>
      <name val="Arial"/>
      <family val="2"/>
    </font>
    <font>
      <sz val="10"/>
      <color rgb="FFFF0000"/>
      <name val="Arial"/>
      <family val="2"/>
    </font>
    <font>
      <sz val="14"/>
      <color rgb="FFFF0000"/>
      <name val="Tahoma"/>
      <family val="2"/>
    </font>
    <font>
      <sz val="8"/>
      <color rgb="FFFF0000"/>
      <name val="Arial"/>
      <family val="2"/>
    </font>
    <font>
      <sz val="16"/>
      <color rgb="FFFF0000"/>
      <name val="Arial"/>
      <family val="2"/>
    </font>
    <font>
      <sz val="10"/>
      <color theme="0"/>
      <name val="Times New Roman"/>
      <family val="1"/>
    </font>
    <font>
      <sz val="10"/>
      <color rgb="FFFF0000"/>
      <name val="Times New Roman"/>
      <family val="1"/>
    </font>
    <font>
      <sz val="10"/>
      <color rgb="FF002060"/>
      <name val="Times New Roman"/>
      <family val="1"/>
    </font>
    <font>
      <sz val="10"/>
      <color theme="1"/>
      <name val="Times New Roman"/>
      <family val="1"/>
    </font>
    <font>
      <b/>
      <sz val="10"/>
      <color theme="0"/>
      <name val="Arial"/>
      <family val="2"/>
    </font>
    <font>
      <sz val="10"/>
      <color theme="1"/>
      <name val="Arial"/>
      <family val="2"/>
    </font>
    <font>
      <b/>
      <i/>
      <sz val="10"/>
      <color rgb="FFC00000"/>
      <name val="Arial"/>
      <family val="2"/>
    </font>
    <font>
      <b/>
      <sz val="22"/>
      <color theme="1"/>
      <name val="Calibri"/>
      <family val="2"/>
      <scheme val="minor"/>
    </font>
    <font>
      <b/>
      <sz val="20"/>
      <color theme="1"/>
      <name val="Calibri"/>
      <family val="2"/>
      <scheme val="minor"/>
    </font>
    <font>
      <sz val="18"/>
      <name val="Arial"/>
      <family val="2"/>
    </font>
    <font>
      <b/>
      <sz val="18"/>
      <name val="Arial"/>
      <family val="2"/>
    </font>
    <font>
      <sz val="24"/>
      <name val="Arial"/>
      <family val="2"/>
    </font>
    <font>
      <b/>
      <sz val="24"/>
      <name val="Arial"/>
      <family val="2"/>
    </font>
    <font>
      <sz val="24"/>
      <color theme="0"/>
      <name val="Times New Roman"/>
      <family val="1"/>
    </font>
    <font>
      <sz val="24"/>
      <color indexed="9"/>
      <name val="Arial"/>
      <family val="2"/>
    </font>
    <font>
      <sz val="12"/>
      <color indexed="18"/>
      <name val="Arial"/>
      <family val="2"/>
    </font>
    <font>
      <b/>
      <sz val="11"/>
      <color indexed="18"/>
      <name val="Arial"/>
      <family val="2"/>
    </font>
    <font>
      <sz val="11"/>
      <name val="Calibri"/>
      <family val="2"/>
      <scheme val="minor"/>
    </font>
    <font>
      <sz val="11"/>
      <name val="Calibri"/>
      <family val="2"/>
      <charset val="1"/>
    </font>
    <font>
      <sz val="11"/>
      <color rgb="FFFF0000"/>
      <name val="Calibri"/>
      <family val="2"/>
      <charset val="1"/>
    </font>
    <font>
      <sz val="11"/>
      <color rgb="FF000000"/>
      <name val="Calibri"/>
      <family val="2"/>
    </font>
    <font>
      <b/>
      <sz val="10"/>
      <color theme="5" tint="-0.249977111117893"/>
      <name val="Arial"/>
      <family val="2"/>
    </font>
    <font>
      <sz val="10"/>
      <color theme="5"/>
      <name val="Times New Roman"/>
      <family val="1"/>
    </font>
    <font>
      <b/>
      <sz val="18"/>
      <name val="Mangal"/>
      <family val="1"/>
    </font>
    <font>
      <b/>
      <sz val="12"/>
      <color rgb="FFFF0000"/>
      <name val="Arial"/>
      <family val="2"/>
    </font>
    <font>
      <b/>
      <sz val="10"/>
      <color rgb="FFFF0000"/>
      <name val="Arial"/>
      <family val="2"/>
    </font>
    <font>
      <b/>
      <sz val="14"/>
      <color rgb="FFFF0000"/>
      <name val="Tahoma"/>
      <family val="2"/>
    </font>
    <font>
      <sz val="12"/>
      <name val="Arial"/>
      <family val="2"/>
    </font>
    <font>
      <sz val="20"/>
      <name val="Arial"/>
      <family val="2"/>
    </font>
    <font>
      <b/>
      <sz val="18"/>
      <name val="Calibri"/>
      <family val="2"/>
      <scheme val="minor"/>
    </font>
    <font>
      <sz val="18"/>
      <name val="Calibri"/>
      <family val="2"/>
      <scheme val="minor"/>
    </font>
    <font>
      <sz val="11"/>
      <color theme="1"/>
      <name val="Times New Roman"/>
      <family val="1"/>
    </font>
    <font>
      <sz val="16"/>
      <color indexed="54"/>
      <name val="Arial Black"/>
      <family val="2"/>
    </font>
    <font>
      <sz val="12"/>
      <color theme="1"/>
      <name val="Arial"/>
      <family val="2"/>
    </font>
    <font>
      <b/>
      <sz val="11"/>
      <color theme="0"/>
      <name val="Calibri"/>
      <family val="2"/>
      <scheme val="minor"/>
    </font>
    <font>
      <sz val="10"/>
      <color rgb="FF000000"/>
      <name val="Arial"/>
      <family val="2"/>
    </font>
    <font>
      <sz val="12"/>
      <color rgb="FF000000"/>
      <name val="Calibri"/>
      <family val="2"/>
    </font>
    <font>
      <b/>
      <sz val="10"/>
      <color rgb="FF000000"/>
      <name val="Arial"/>
      <family val="2"/>
    </font>
    <font>
      <sz val="11"/>
      <color rgb="FF000000"/>
      <name val="Calibri"/>
      <family val="2"/>
      <charset val="1"/>
    </font>
    <font>
      <u/>
      <sz val="10"/>
      <name val="Times New Roman"/>
      <family val="1"/>
    </font>
    <font>
      <sz val="8"/>
      <color rgb="FF000000"/>
      <name val="Arial"/>
      <family val="2"/>
    </font>
    <font>
      <sz val="10"/>
      <color rgb="FF000000"/>
      <name val="Times New Roman"/>
      <family val="1"/>
    </font>
    <font>
      <sz val="11"/>
      <color theme="1"/>
      <name val="Arial"/>
      <family val="2"/>
    </font>
    <font>
      <b/>
      <sz val="11"/>
      <color theme="1"/>
      <name val="Arial"/>
      <family val="2"/>
    </font>
    <font>
      <b/>
      <sz val="13.5"/>
      <name val="Arial"/>
      <family val="2"/>
    </font>
    <font>
      <b/>
      <i/>
      <sz val="11"/>
      <name val="Arial"/>
      <family val="2"/>
    </font>
    <font>
      <b/>
      <sz val="11"/>
      <name val="Symbol"/>
      <family val="1"/>
      <charset val="2"/>
    </font>
    <font>
      <b/>
      <u/>
      <sz val="12"/>
      <name val="Arial"/>
      <family val="2"/>
    </font>
    <font>
      <b/>
      <sz val="13"/>
      <name val="Times New Roman"/>
      <family val="1"/>
    </font>
    <font>
      <b/>
      <i/>
      <sz val="12"/>
      <name val="Arial"/>
      <family val="2"/>
    </font>
    <font>
      <b/>
      <sz val="12"/>
      <color rgb="FF000000"/>
      <name val="Calibri"/>
      <family val="2"/>
    </font>
    <font>
      <sz val="12"/>
      <color theme="1"/>
      <name val="Calibri"/>
      <family val="2"/>
    </font>
    <font>
      <b/>
      <sz val="12"/>
      <color rgb="FF203764"/>
      <name val="Calibri"/>
      <family val="2"/>
    </font>
    <font>
      <sz val="12"/>
      <name val="Calibri"/>
      <family val="2"/>
      <scheme val="minor"/>
    </font>
    <font>
      <b/>
      <sz val="12"/>
      <name val="Calibri"/>
      <family val="2"/>
      <scheme val="minor"/>
    </font>
    <font>
      <b/>
      <sz val="7"/>
      <name val="Calibri"/>
      <family val="2"/>
      <scheme val="minor"/>
    </font>
    <font>
      <sz val="12"/>
      <color theme="0"/>
      <name val="Arial"/>
      <family val="2"/>
    </font>
    <font>
      <b/>
      <sz val="7"/>
      <name val="Times New Roman"/>
      <family val="1"/>
    </font>
    <font>
      <b/>
      <sz val="12"/>
      <name val="Mangal"/>
      <family val="1"/>
    </font>
    <font>
      <b/>
      <sz val="8"/>
      <color rgb="FF000066"/>
      <name val="Arial"/>
      <family val="2"/>
    </font>
    <font>
      <b/>
      <u/>
      <sz val="12"/>
      <name val="Times New Roman"/>
      <family val="1"/>
    </font>
    <font>
      <u/>
      <sz val="12"/>
      <name val="Times New Roman"/>
      <family val="1"/>
    </font>
    <font>
      <sz val="9"/>
      <name val="Times New Roman"/>
      <family val="1"/>
    </font>
    <font>
      <b/>
      <u/>
      <sz val="16"/>
      <name val="Arial"/>
      <family val="2"/>
    </font>
    <font>
      <b/>
      <sz val="8"/>
      <color rgb="FF000000"/>
      <name val="Arial"/>
      <family val="2"/>
    </font>
    <font>
      <sz val="8"/>
      <name val="Arial"/>
      <family val="2"/>
    </font>
    <font>
      <b/>
      <sz val="8"/>
      <name val="Arial"/>
      <family val="2"/>
    </font>
    <font>
      <sz val="7"/>
      <name val="Arial"/>
      <family val="2"/>
    </font>
    <font>
      <b/>
      <sz val="7"/>
      <name val="Arial"/>
      <family val="2"/>
    </font>
    <font>
      <sz val="10"/>
      <name val="Arial"/>
      <family val="2"/>
    </font>
    <font>
      <sz val="10"/>
      <color rgb="FF000000"/>
      <name val="Times New Roman"/>
      <family val="1"/>
    </font>
    <font>
      <b/>
      <sz val="12"/>
      <color theme="0"/>
      <name val="Arial"/>
      <family val="2"/>
    </font>
    <font>
      <sz val="11"/>
      <color rgb="FF000000"/>
      <name val="Arial"/>
      <family val="2"/>
    </font>
    <font>
      <b/>
      <sz val="16"/>
      <color rgb="FF002060"/>
      <name val="Arial Black"/>
      <family val="2"/>
    </font>
    <font>
      <b/>
      <sz val="14"/>
      <color rgb="FF002060"/>
      <name val="Arial"/>
      <family val="2"/>
    </font>
    <font>
      <b/>
      <sz val="14"/>
      <color theme="8" tint="-0.499984740745262"/>
      <name val="Arial"/>
      <family val="2"/>
    </font>
    <font>
      <b/>
      <sz val="12"/>
      <color theme="1"/>
      <name val="Arial"/>
      <family val="2"/>
    </font>
    <font>
      <b/>
      <sz val="16"/>
      <color theme="8" tint="-0.499984740745262"/>
      <name val="Arial Black"/>
      <family val="2"/>
    </font>
    <font>
      <b/>
      <sz val="12"/>
      <color rgb="FF002060"/>
      <name val="Arial"/>
      <family val="2"/>
    </font>
    <font>
      <sz val="12"/>
      <color rgb="FF002060"/>
      <name val="Arial"/>
      <family val="2"/>
    </font>
    <font>
      <b/>
      <sz val="16"/>
      <color rgb="FF002060"/>
      <name val="Arial"/>
      <family val="2"/>
    </font>
    <font>
      <sz val="16"/>
      <color rgb="FF002060"/>
      <name val="Arial"/>
      <family val="2"/>
    </font>
    <font>
      <b/>
      <sz val="10"/>
      <color theme="1"/>
      <name val="Arial"/>
      <family val="2"/>
    </font>
    <font>
      <b/>
      <sz val="11"/>
      <color rgb="FF000000"/>
      <name val="Arial"/>
      <family val="2"/>
    </font>
    <font>
      <sz val="14"/>
      <color theme="1"/>
      <name val="Arial"/>
      <family val="2"/>
    </font>
    <font>
      <sz val="11"/>
      <color rgb="FF000000"/>
      <name val="Times New Roman"/>
      <family val="1"/>
    </font>
    <font>
      <sz val="11"/>
      <name val="Calibri"/>
      <family val="2"/>
    </font>
    <font>
      <b/>
      <sz val="18"/>
      <color theme="1"/>
      <name val="Calibri"/>
      <family val="2"/>
      <scheme val="minor"/>
    </font>
    <font>
      <sz val="12"/>
      <color rgb="FF000000"/>
      <name val="Arial"/>
      <family val="2"/>
    </font>
    <font>
      <b/>
      <sz val="18"/>
      <name val="APS-C-DV-Prakash"/>
    </font>
    <font>
      <b/>
      <u/>
      <sz val="16"/>
      <color theme="1"/>
      <name val="Calibri"/>
      <family val="2"/>
      <scheme val="minor"/>
    </font>
    <font>
      <sz val="10"/>
      <color rgb="FF000000"/>
      <name val="Calibri"/>
      <family val="2"/>
      <scheme val="minor"/>
    </font>
    <font>
      <b/>
      <sz val="10"/>
      <color rgb="FF000000"/>
      <name val="Calibri"/>
      <family val="2"/>
      <scheme val="minor"/>
    </font>
    <font>
      <b/>
      <sz val="10"/>
      <color theme="1"/>
      <name val="Calibri"/>
      <family val="2"/>
      <scheme val="minor"/>
    </font>
    <font>
      <b/>
      <sz val="12"/>
      <color rgb="FF000000"/>
      <name val="Calibri"/>
      <family val="2"/>
      <scheme val="minor"/>
    </font>
    <font>
      <sz val="8"/>
      <color rgb="FF000000"/>
      <name val="Calibri"/>
      <family val="2"/>
      <scheme val="minor"/>
    </font>
    <font>
      <b/>
      <sz val="11"/>
      <color theme="1"/>
      <name val="Calibri"/>
      <family val="2"/>
      <scheme val="minor"/>
    </font>
    <font>
      <b/>
      <sz val="12"/>
      <color theme="1"/>
      <name val="Calibri"/>
      <family val="2"/>
      <scheme val="minor"/>
    </font>
    <font>
      <sz val="8"/>
      <color theme="1"/>
      <name val="Calibri"/>
      <family val="2"/>
      <scheme val="minor"/>
    </font>
    <font>
      <b/>
      <sz val="12"/>
      <color rgb="FFFF0000"/>
      <name val="Calibri"/>
      <family val="2"/>
      <scheme val="minor"/>
    </font>
    <font>
      <sz val="11"/>
      <color rgb="FFFF0000"/>
      <name val="Calibri"/>
      <family val="2"/>
      <scheme val="minor"/>
    </font>
    <font>
      <sz val="8"/>
      <color rgb="FFFF0000"/>
      <name val="Calibri"/>
      <family val="2"/>
      <scheme val="minor"/>
    </font>
    <font>
      <b/>
      <sz val="16"/>
      <color theme="0"/>
      <name val="Arial"/>
      <family val="2"/>
    </font>
    <font>
      <b/>
      <sz val="14"/>
      <color indexed="8"/>
      <name val="SansSerif"/>
    </font>
    <font>
      <sz val="10"/>
      <color indexed="8"/>
      <name val="SansSerif"/>
    </font>
    <font>
      <b/>
      <u/>
      <sz val="10"/>
      <color indexed="8"/>
      <name val="SansSerif"/>
    </font>
    <font>
      <i/>
      <sz val="10"/>
      <color rgb="FF000000"/>
      <name val="Arial"/>
      <family val="2"/>
    </font>
    <font>
      <sz val="10"/>
      <color indexed="41"/>
      <name val="Arial"/>
      <family val="2"/>
    </font>
    <font>
      <b/>
      <sz val="12"/>
      <color rgb="FF000000"/>
      <name val="Arial"/>
      <family val="2"/>
    </font>
    <font>
      <b/>
      <sz val="12"/>
      <color indexed="8"/>
      <name val="Calibri"/>
    </font>
    <font>
      <sz val="24"/>
      <color rgb="FFFF0000"/>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26"/>
      </patternFill>
    </fill>
    <fill>
      <patternFill patternType="solid">
        <fgColor indexed="13"/>
        <bgColor indexed="64"/>
      </patternFill>
    </fill>
    <fill>
      <patternFill patternType="solid">
        <fgColor indexed="15"/>
        <bgColor indexed="64"/>
      </patternFill>
    </fill>
    <fill>
      <patternFill patternType="solid">
        <fgColor indexed="9"/>
        <bgColor indexed="64"/>
      </patternFill>
    </fill>
    <fill>
      <patternFill patternType="solid">
        <fgColor indexed="47"/>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indexed="11"/>
        <bgColor indexed="64"/>
      </patternFill>
    </fill>
    <fill>
      <patternFill patternType="solid">
        <fgColor indexed="62"/>
        <bgColor indexed="64"/>
      </patternFill>
    </fill>
    <fill>
      <patternFill patternType="solid">
        <fgColor indexed="18"/>
        <bgColor indexed="64"/>
      </patternFill>
    </fill>
    <fill>
      <patternFill patternType="solid">
        <fgColor indexed="56"/>
        <bgColor indexed="64"/>
      </patternFill>
    </fill>
    <fill>
      <patternFill patternType="solid">
        <fgColor rgb="FFFFFF00"/>
        <bgColor indexed="64"/>
      </patternFill>
    </fill>
    <fill>
      <patternFill patternType="solid">
        <fgColor theme="0"/>
        <bgColor indexed="64"/>
      </patternFill>
    </fill>
    <fill>
      <patternFill patternType="solid">
        <fgColor theme="0"/>
        <bgColor indexed="9"/>
      </patternFill>
    </fill>
    <fill>
      <patternFill patternType="solid">
        <fgColor theme="2"/>
        <bgColor indexed="64"/>
      </patternFill>
    </fill>
    <fill>
      <patternFill patternType="solid">
        <fgColor rgb="FF002060"/>
        <bgColor indexed="64"/>
      </patternFill>
    </fill>
    <fill>
      <patternFill patternType="solid">
        <fgColor theme="1"/>
        <bgColor indexed="64"/>
      </patternFill>
    </fill>
    <fill>
      <patternFill patternType="solid">
        <fgColor theme="0" tint="-0.14999847407452621"/>
        <bgColor indexed="64"/>
      </patternFill>
    </fill>
    <fill>
      <patternFill patternType="solid">
        <fgColor rgb="FFC6E0B4"/>
        <bgColor rgb="FF000000"/>
      </patternFill>
    </fill>
    <fill>
      <patternFill patternType="solid">
        <fgColor rgb="FF9BC2E6"/>
        <bgColor rgb="FF000000"/>
      </patternFill>
    </fill>
    <fill>
      <patternFill patternType="solid">
        <fgColor theme="8" tint="-0.249977111117893"/>
        <bgColor indexed="64"/>
      </patternFill>
    </fill>
    <fill>
      <patternFill patternType="solid">
        <fgColor rgb="FF8EA9DB"/>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4" tint="0.59999389629810485"/>
        <bgColor indexed="64"/>
      </patternFill>
    </fill>
    <fill>
      <patternFill patternType="solid">
        <fgColor rgb="FFE2EFDA"/>
        <bgColor indexed="64"/>
      </patternFill>
    </fill>
    <fill>
      <patternFill patternType="solid">
        <fgColor rgb="FFE2EFDA"/>
        <bgColor theme="4" tint="0.79998168889431442"/>
      </patternFill>
    </fill>
    <fill>
      <patternFill patternType="solid">
        <fgColor rgb="FFFFFFFF"/>
        <bgColor indexed="64"/>
      </patternFill>
    </fill>
  </fills>
  <borders count="2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diagonal/>
    </border>
    <border>
      <left/>
      <right/>
      <top/>
      <bottom style="double">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style="thin">
        <color indexed="64"/>
      </left>
      <right/>
      <top style="thin">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ck">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double">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thick">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2"/>
      </right>
      <top style="thin">
        <color indexed="64"/>
      </top>
      <bottom/>
      <diagonal/>
    </border>
    <border>
      <left style="medium">
        <color indexed="64"/>
      </left>
      <right/>
      <top style="thin">
        <color indexed="64"/>
      </top>
      <bottom style="thin">
        <color indexed="64"/>
      </bottom>
      <diagonal/>
    </border>
    <border>
      <left/>
      <right/>
      <top/>
      <bottom style="double">
        <color theme="8" tint="-0.499984740745262"/>
      </bottom>
      <diagonal/>
    </border>
    <border>
      <left style="medium">
        <color theme="8" tint="-0.499984740745262"/>
      </left>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CCCCCC"/>
      </left>
      <right style="thin">
        <color rgb="FFCCCCCC"/>
      </right>
      <top style="thin">
        <color rgb="FF000000"/>
      </top>
      <bottom style="thin">
        <color rgb="FFCCCCCC"/>
      </bottom>
      <diagonal/>
    </border>
    <border>
      <left style="thin">
        <color rgb="FFCCCCCC"/>
      </left>
      <right style="thin">
        <color rgb="FFCCCCCC"/>
      </right>
      <top style="thin">
        <color rgb="FFCCCCCC"/>
      </top>
      <bottom style="thin">
        <color rgb="FFCCCCCC"/>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CCCCCC"/>
      </bottom>
      <diagonal/>
    </border>
    <border>
      <left/>
      <right/>
      <top style="thin">
        <color rgb="FF000000"/>
      </top>
      <bottom style="thin">
        <color rgb="FFCCCCCC"/>
      </bottom>
      <diagonal/>
    </border>
    <border>
      <left/>
      <right style="thin">
        <color rgb="FF000000"/>
      </right>
      <top style="thin">
        <color rgb="FF000000"/>
      </top>
      <bottom style="thin">
        <color rgb="FFCCCCCC"/>
      </bottom>
      <diagonal/>
    </border>
    <border>
      <left style="thin">
        <color rgb="FF000000"/>
      </left>
      <right/>
      <top style="thin">
        <color rgb="FFCCCCCC"/>
      </top>
      <bottom style="thin">
        <color rgb="FFCCCCCC"/>
      </bottom>
      <diagonal/>
    </border>
    <border>
      <left/>
      <right/>
      <top style="thin">
        <color rgb="FFCCCCCC"/>
      </top>
      <bottom style="thin">
        <color rgb="FFCCCCCC"/>
      </bottom>
      <diagonal/>
    </border>
    <border>
      <left/>
      <right style="thin">
        <color rgb="FF000000"/>
      </right>
      <top style="thin">
        <color rgb="FFCCCCCC"/>
      </top>
      <bottom style="thin">
        <color rgb="FFCCCCCC"/>
      </bottom>
      <diagonal/>
    </border>
    <border>
      <left style="thin">
        <color rgb="FF000000"/>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000000"/>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theme="0"/>
      </left>
      <right style="thin">
        <color indexed="64"/>
      </right>
      <top style="thin">
        <color indexed="64"/>
      </top>
      <bottom/>
      <diagonal/>
    </border>
    <border>
      <left style="thin">
        <color indexed="64"/>
      </left>
      <right style="thin">
        <color theme="0"/>
      </right>
      <top/>
      <bottom/>
      <diagonal/>
    </border>
    <border>
      <left style="thin">
        <color theme="0"/>
      </left>
      <right style="thin">
        <color theme="0"/>
      </right>
      <top/>
      <bottom/>
      <diagonal/>
    </border>
    <border>
      <left/>
      <right/>
      <top/>
      <bottom style="thin">
        <color theme="0"/>
      </bottom>
      <diagonal/>
    </border>
    <border>
      <left style="thin">
        <color theme="0"/>
      </left>
      <right style="thin">
        <color theme="0"/>
      </right>
      <top style="thin">
        <color theme="0"/>
      </top>
      <bottom/>
      <diagonal/>
    </border>
    <border>
      <left style="thin">
        <color theme="0"/>
      </left>
      <right style="thin">
        <color indexed="64"/>
      </right>
      <top/>
      <bottom/>
      <diagonal/>
    </border>
    <border>
      <left style="thin">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theme="0"/>
      </left>
      <right style="thin">
        <color indexed="64"/>
      </right>
      <top/>
      <bottom style="thin">
        <color theme="0"/>
      </bottom>
      <diagonal/>
    </border>
    <border>
      <left/>
      <right style="thin">
        <color theme="0"/>
      </right>
      <top/>
      <bottom style="thin">
        <color theme="0"/>
      </bottom>
      <diagonal/>
    </border>
    <border>
      <left style="thin">
        <color theme="0"/>
      </left>
      <right style="thin">
        <color indexed="64"/>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theme="0"/>
      </top>
      <bottom/>
      <diagonal/>
    </border>
    <border>
      <left style="thin">
        <color indexed="64"/>
      </left>
      <right style="thin">
        <color theme="0"/>
      </right>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theme="0"/>
      </right>
      <top style="thin">
        <color indexed="64"/>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thin">
        <color indexed="64"/>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theme="0"/>
      </top>
      <bottom/>
      <diagonal/>
    </border>
    <border>
      <left style="thin">
        <color theme="0"/>
      </left>
      <right style="thin">
        <color indexed="64"/>
      </right>
      <top style="thin">
        <color theme="0"/>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theme="0"/>
      </left>
      <right/>
      <top/>
      <bottom style="thin">
        <color theme="0"/>
      </bottom>
      <diagonal/>
    </border>
    <border>
      <left style="thin">
        <color theme="0"/>
      </left>
      <right/>
      <top/>
      <bottom/>
      <diagonal/>
    </border>
    <border>
      <left style="thin">
        <color theme="0"/>
      </left>
      <right/>
      <top style="thin">
        <color theme="0"/>
      </top>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right style="thin">
        <color indexed="64"/>
      </right>
      <top/>
      <bottom style="thin">
        <color theme="0"/>
      </bottom>
      <diagonal/>
    </border>
    <border>
      <left/>
      <right style="thin">
        <color indexed="64"/>
      </right>
      <top style="thin">
        <color indexed="64"/>
      </top>
      <bottom style="thin">
        <color theme="0"/>
      </bottom>
      <diagonal/>
    </border>
    <border>
      <left style="thin">
        <color theme="0"/>
      </left>
      <right style="thin">
        <color indexed="64"/>
      </right>
      <top/>
      <bottom style="thin">
        <color indexed="64"/>
      </bottom>
      <diagonal/>
    </border>
    <border>
      <left style="thin">
        <color indexed="64"/>
      </left>
      <right style="thin">
        <color theme="0"/>
      </right>
      <top style="thin">
        <color theme="0"/>
      </top>
      <bottom style="thin">
        <color theme="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style="medium">
        <color indexed="64"/>
      </right>
      <top/>
      <bottom style="thick">
        <color rgb="FF000000"/>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style="medium">
        <color rgb="FF000000"/>
      </bottom>
      <diagonal/>
    </border>
    <border>
      <left style="medium">
        <color indexed="64"/>
      </left>
      <right/>
      <top style="medium">
        <color rgb="FF000000"/>
      </top>
      <bottom/>
      <diagonal/>
    </border>
    <border>
      <left/>
      <right style="medium">
        <color rgb="FF000000"/>
      </right>
      <top style="medium">
        <color indexed="64"/>
      </top>
      <bottom style="medium">
        <color indexed="64"/>
      </bottom>
      <diagonal/>
    </border>
    <border>
      <left style="medium">
        <color indexed="64"/>
      </left>
      <right style="medium">
        <color rgb="FF000000"/>
      </right>
      <top/>
      <bottom/>
      <diagonal/>
    </border>
    <border>
      <left/>
      <right style="medium">
        <color rgb="FF000000"/>
      </right>
      <top/>
      <bottom style="medium">
        <color indexed="64"/>
      </bottom>
      <diagonal/>
    </border>
    <border>
      <left style="medium">
        <color rgb="FF000000"/>
      </left>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rgb="FF000000"/>
      </right>
      <top style="medium">
        <color rgb="FF000000"/>
      </top>
      <bottom style="medium">
        <color rgb="FF000000"/>
      </bottom>
      <diagonal/>
    </border>
    <border>
      <left/>
      <right style="medium">
        <color indexed="64"/>
      </right>
      <top style="medium">
        <color rgb="FF000000"/>
      </top>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right style="medium">
        <color rgb="FF000000"/>
      </right>
      <top/>
      <bottom style="thick">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top style="thick">
        <color rgb="FF000000"/>
      </top>
      <bottom style="medium">
        <color rgb="FF000000"/>
      </bottom>
      <diagonal/>
    </border>
    <border>
      <left/>
      <right style="medium">
        <color indexed="64"/>
      </right>
      <top style="thick">
        <color rgb="FF000000"/>
      </top>
      <bottom style="medium">
        <color rgb="FF000000"/>
      </bottom>
      <diagonal/>
    </border>
    <border>
      <left style="medium">
        <color indexed="64"/>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top style="medium">
        <color rgb="FF000000"/>
      </top>
      <bottom style="thick">
        <color rgb="FF000000"/>
      </bottom>
      <diagonal/>
    </border>
    <border>
      <left/>
      <right style="medium">
        <color indexed="64"/>
      </right>
      <top/>
      <bottom style="thick">
        <color rgb="FF000000"/>
      </bottom>
      <diagonal/>
    </border>
    <border>
      <left style="medium">
        <color indexed="64"/>
      </left>
      <right/>
      <top style="thick">
        <color rgb="FF000000"/>
      </top>
      <bottom style="medium">
        <color indexed="64"/>
      </bottom>
      <diagonal/>
    </border>
    <border>
      <left/>
      <right/>
      <top style="thick">
        <color rgb="FF000000"/>
      </top>
      <bottom style="medium">
        <color indexed="64"/>
      </bottom>
      <diagonal/>
    </border>
    <border>
      <left/>
      <right style="medium">
        <color rgb="FF000000"/>
      </right>
      <top style="thick">
        <color rgb="FF000000"/>
      </top>
      <bottom style="medium">
        <color indexed="64"/>
      </bottom>
      <diagonal/>
    </border>
    <border>
      <left style="medium">
        <color rgb="FF000000"/>
      </left>
      <right/>
      <top style="thick">
        <color rgb="FF000000"/>
      </top>
      <bottom style="medium">
        <color indexed="64"/>
      </bottom>
      <diagonal/>
    </border>
    <border>
      <left/>
      <right/>
      <top style="double">
        <color indexed="64"/>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right style="thin">
        <color indexed="8"/>
      </right>
      <top/>
      <bottom/>
      <diagonal/>
    </border>
    <border>
      <left style="thin">
        <color indexed="64"/>
      </left>
      <right/>
      <top/>
      <bottom style="medium">
        <color indexed="64"/>
      </bottom>
      <diagonal/>
    </border>
  </borders>
  <cellStyleXfs count="168">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15" fillId="0" borderId="0">
      <alignment horizontal="center" wrapText="1"/>
      <protection locked="0"/>
    </xf>
    <xf numFmtId="0" fontId="26" fillId="3" borderId="0" applyNumberFormat="0" applyBorder="0" applyAlignment="0" applyProtection="0"/>
    <xf numFmtId="173" fontId="20" fillId="0" borderId="0" applyFill="0" applyBorder="0" applyAlignment="0"/>
    <xf numFmtId="0" fontId="27" fillId="20" borderId="1" applyNumberFormat="0" applyAlignment="0" applyProtection="0"/>
    <xf numFmtId="0" fontId="28" fillId="21" borderId="2" applyNumberFormat="0" applyAlignment="0" applyProtection="0"/>
    <xf numFmtId="0" fontId="29" fillId="0" borderId="0" applyNumberFormat="0" applyAlignment="0">
      <alignment horizontal="left"/>
    </xf>
    <xf numFmtId="0" fontId="30" fillId="0" borderId="0" applyNumberFormat="0" applyAlignment="0"/>
    <xf numFmtId="44" fontId="66" fillId="0" borderId="0" applyFont="0" applyFill="0" applyBorder="0" applyAlignment="0" applyProtection="0"/>
    <xf numFmtId="178" fontId="131" fillId="0" borderId="0" applyBorder="0" applyProtection="0"/>
    <xf numFmtId="0" fontId="31" fillId="0" borderId="0" applyNumberFormat="0" applyAlignment="0">
      <alignment horizontal="left"/>
    </xf>
    <xf numFmtId="0" fontId="32" fillId="0" borderId="0" applyNumberFormat="0" applyFill="0" applyBorder="0" applyAlignment="0" applyProtection="0"/>
    <xf numFmtId="0" fontId="33" fillId="4" borderId="0" applyNumberFormat="0" applyBorder="0" applyAlignment="0" applyProtection="0"/>
    <xf numFmtId="38" fontId="34" fillId="22" borderId="0" applyNumberFormat="0" applyBorder="0" applyAlignment="0" applyProtection="0"/>
    <xf numFmtId="38" fontId="17" fillId="22" borderId="0" applyNumberFormat="0" applyBorder="0" applyAlignment="0" applyProtection="0"/>
    <xf numFmtId="0" fontId="19" fillId="0" borderId="3" applyNumberFormat="0" applyAlignment="0" applyProtection="0">
      <alignment horizontal="left" vertical="center"/>
    </xf>
    <xf numFmtId="0" fontId="19" fillId="0" borderId="4">
      <alignment horizontal="left" vertical="center"/>
    </xf>
    <xf numFmtId="0" fontId="35" fillId="0" borderId="5" applyNumberFormat="0" applyFill="0" applyAlignment="0" applyProtection="0"/>
    <xf numFmtId="0" fontId="36" fillId="0" borderId="6" applyNumberFormat="0" applyFill="0" applyAlignment="0" applyProtection="0"/>
    <xf numFmtId="0" fontId="37" fillId="0" borderId="7"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10" fontId="34" fillId="23" borderId="8" applyNumberFormat="0" applyBorder="0" applyAlignment="0" applyProtection="0"/>
    <xf numFmtId="10" fontId="17" fillId="23" borderId="8" applyNumberFormat="0" applyBorder="0" applyAlignment="0" applyProtection="0"/>
    <xf numFmtId="168" fontId="39" fillId="24" borderId="0"/>
    <xf numFmtId="0" fontId="40" fillId="0" borderId="9" applyNumberFormat="0" applyFill="0" applyAlignment="0" applyProtection="0"/>
    <xf numFmtId="168" fontId="41" fillId="25" borderId="0"/>
    <xf numFmtId="171" fontId="20" fillId="0" borderId="0" applyFont="0" applyFill="0" applyBorder="0" applyAlignment="0" applyProtection="0"/>
    <xf numFmtId="174" fontId="20" fillId="0" borderId="0" applyFont="0" applyFill="0" applyBorder="0" applyAlignment="0" applyProtection="0"/>
    <xf numFmtId="170" fontId="20" fillId="0" borderId="0" applyFont="0" applyFill="0" applyBorder="0" applyAlignment="0" applyProtection="0"/>
    <xf numFmtId="172" fontId="20" fillId="0" borderId="0" applyFont="0" applyFill="0" applyBorder="0" applyAlignment="0" applyProtection="0"/>
    <xf numFmtId="0" fontId="42" fillId="26" borderId="0" applyNumberFormat="0" applyBorder="0" applyAlignment="0" applyProtection="0"/>
    <xf numFmtId="169" fontId="43" fillId="0" borderId="0"/>
    <xf numFmtId="0" fontId="131" fillId="0" borderId="0"/>
    <xf numFmtId="0" fontId="20" fillId="0" borderId="0"/>
    <xf numFmtId="0" fontId="20" fillId="0" borderId="0"/>
    <xf numFmtId="0" fontId="44" fillId="0" borderId="0" applyNumberFormat="0"/>
    <xf numFmtId="0" fontId="20" fillId="0" borderId="0"/>
    <xf numFmtId="0" fontId="22" fillId="0" borderId="0" applyNumberFormat="0"/>
    <xf numFmtId="0" fontId="20" fillId="0" borderId="0"/>
    <xf numFmtId="0" fontId="14" fillId="0" borderId="0"/>
    <xf numFmtId="0" fontId="138" fillId="0" borderId="0"/>
    <xf numFmtId="0" fontId="125" fillId="0" borderId="0" applyNumberFormat="0"/>
    <xf numFmtId="0" fontId="139" fillId="0" borderId="0"/>
    <xf numFmtId="0" fontId="130" fillId="0" borderId="0" applyNumberFormat="0"/>
    <xf numFmtId="0" fontId="125" fillId="0" borderId="0" applyNumberFormat="0"/>
    <xf numFmtId="0" fontId="20" fillId="0" borderId="0">
      <alignment vertical="top"/>
    </xf>
    <xf numFmtId="0" fontId="124" fillId="0" borderId="0"/>
    <xf numFmtId="0" fontId="14" fillId="0" borderId="0"/>
    <xf numFmtId="0" fontId="44" fillId="27" borderId="10" applyNumberFormat="0" applyFont="0" applyAlignment="0" applyProtection="0"/>
    <xf numFmtId="167" fontId="20" fillId="0" borderId="0" applyFont="0" applyFill="0" applyBorder="0" applyAlignment="0" applyProtection="0"/>
    <xf numFmtId="166" fontId="20" fillId="0" borderId="0" applyFont="0" applyFill="0" applyBorder="0" applyAlignment="0" applyProtection="0"/>
    <xf numFmtId="0" fontId="45" fillId="20" borderId="11" applyNumberFormat="0" applyAlignment="0" applyProtection="0"/>
    <xf numFmtId="14" fontId="15" fillId="0" borderId="0">
      <alignment horizontal="center" wrapText="1"/>
      <protection locked="0"/>
    </xf>
    <xf numFmtId="9" fontId="13" fillId="0" borderId="0" applyFont="0" applyFill="0" applyBorder="0" applyAlignment="0" applyProtection="0"/>
    <xf numFmtId="10" fontId="20" fillId="0" borderId="0" applyFont="0" applyFill="0" applyBorder="0" applyAlignment="0" applyProtection="0"/>
    <xf numFmtId="9" fontId="118" fillId="0" borderId="0" applyFont="0" applyFill="0" applyBorder="0" applyAlignment="0" applyProtection="0"/>
    <xf numFmtId="9" fontId="20" fillId="0" borderId="0" applyFont="0" applyFill="0" applyBorder="0" applyAlignment="0" applyProtection="0"/>
    <xf numFmtId="175" fontId="46" fillId="0" borderId="0"/>
    <xf numFmtId="0" fontId="47" fillId="0" borderId="0" applyNumberFormat="0" applyFont="0" applyFill="0" applyBorder="0" applyAlignment="0" applyProtection="0">
      <alignment horizontal="left"/>
    </xf>
    <xf numFmtId="176" fontId="20" fillId="0" borderId="0" applyNumberFormat="0" applyFill="0" applyBorder="0" applyAlignment="0" applyProtection="0">
      <alignment horizontal="left"/>
    </xf>
    <xf numFmtId="40" fontId="48" fillId="0" borderId="0" applyBorder="0">
      <alignment horizontal="right"/>
    </xf>
    <xf numFmtId="0" fontId="49" fillId="0" borderId="0" applyNumberFormat="0" applyFill="0" applyBorder="0" applyAlignment="0" applyProtection="0"/>
    <xf numFmtId="0" fontId="50" fillId="0" borderId="12" applyNumberFormat="0" applyFill="0" applyAlignment="0" applyProtection="0"/>
    <xf numFmtId="0" fontId="51" fillId="0" borderId="0" applyNumberFormat="0" applyFill="0" applyBorder="0" applyAlignment="0" applyProtection="0"/>
    <xf numFmtId="0" fontId="173" fillId="0" borderId="0" applyNumberFormat="0"/>
    <xf numFmtId="0" fontId="12" fillId="0" borderId="0"/>
    <xf numFmtId="0" fontId="13" fillId="0" borderId="0"/>
    <xf numFmtId="0" fontId="13" fillId="0" borderId="0"/>
    <xf numFmtId="0" fontId="12" fillId="0" borderId="0"/>
    <xf numFmtId="0" fontId="12" fillId="0" borderId="0"/>
    <xf numFmtId="0" fontId="184" fillId="0" borderId="0"/>
    <xf numFmtId="0" fontId="184" fillId="0" borderId="0"/>
    <xf numFmtId="0" fontId="184"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3"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0" fontId="10" fillId="0" borderId="0"/>
    <xf numFmtId="0" fontId="9" fillId="0" borderId="0"/>
    <xf numFmtId="0" fontId="9" fillId="0" borderId="0"/>
    <xf numFmtId="0" fontId="8"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215" fillId="0" borderId="0"/>
    <xf numFmtId="0" fontId="14" fillId="0" borderId="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13" fillId="0" borderId="0"/>
    <xf numFmtId="0" fontId="7" fillId="0" borderId="0"/>
    <xf numFmtId="9" fontId="7" fillId="0" borderId="0" applyFont="0" applyFill="0" applyBorder="0" applyAlignment="0" applyProtection="0"/>
    <xf numFmtId="0" fontId="216" fillId="0" borderId="0"/>
    <xf numFmtId="0" fontId="21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2047">
    <xf numFmtId="0" fontId="0" fillId="0" borderId="0" xfId="0"/>
    <xf numFmtId="0" fontId="0" fillId="0" borderId="0" xfId="0" applyBorder="1"/>
    <xf numFmtId="0" fontId="0" fillId="0" borderId="8" xfId="0" applyBorder="1"/>
    <xf numFmtId="0" fontId="0" fillId="0" borderId="0" xfId="0" applyFill="1" applyBorder="1"/>
    <xf numFmtId="0" fontId="21" fillId="0" borderId="8" xfId="0" applyFont="1" applyBorder="1"/>
    <xf numFmtId="0" fontId="0" fillId="0" borderId="0" xfId="0" applyFill="1"/>
    <xf numFmtId="0" fontId="0" fillId="0" borderId="0" xfId="0" applyFill="1" applyAlignment="1"/>
    <xf numFmtId="0" fontId="21" fillId="0" borderId="0" xfId="0" applyFont="1"/>
    <xf numFmtId="0" fontId="23" fillId="0" borderId="0" xfId="0" applyFont="1" applyBorder="1" applyAlignment="1">
      <alignment vertical="center"/>
    </xf>
    <xf numFmtId="0" fontId="21" fillId="0" borderId="0" xfId="0" applyFont="1" applyBorder="1"/>
    <xf numFmtId="0" fontId="16" fillId="0" borderId="0" xfId="0" applyFont="1" applyBorder="1" applyAlignment="1">
      <alignment horizontal="center"/>
    </xf>
    <xf numFmtId="0" fontId="20" fillId="0" borderId="0" xfId="0" applyFont="1" applyBorder="1" applyAlignment="1">
      <alignment vertical="center"/>
    </xf>
    <xf numFmtId="0" fontId="13" fillId="0" borderId="0" xfId="0" applyFont="1"/>
    <xf numFmtId="0" fontId="21" fillId="0" borderId="8" xfId="0" applyFont="1" applyBorder="1" applyAlignment="1">
      <alignment horizontal="center" vertical="center"/>
    </xf>
    <xf numFmtId="0" fontId="0" fillId="0" borderId="18" xfId="0" applyBorder="1"/>
    <xf numFmtId="0" fontId="0" fillId="0" borderId="15" xfId="0" applyBorder="1"/>
    <xf numFmtId="2" fontId="0" fillId="0" borderId="0" xfId="0" applyNumberFormat="1" applyBorder="1"/>
    <xf numFmtId="0" fontId="0" fillId="0" borderId="19" xfId="0" applyBorder="1"/>
    <xf numFmtId="0" fontId="0" fillId="0" borderId="17" xfId="0" applyBorder="1"/>
    <xf numFmtId="0" fontId="19" fillId="0" borderId="8" xfId="0" applyFont="1" applyBorder="1"/>
    <xf numFmtId="0" fontId="21" fillId="0" borderId="8" xfId="0" applyFont="1" applyBorder="1" applyAlignment="1"/>
    <xf numFmtId="0" fontId="66" fillId="0" borderId="0" xfId="0" applyFont="1" applyBorder="1"/>
    <xf numFmtId="0" fontId="66" fillId="0" borderId="0" xfId="0" applyFont="1"/>
    <xf numFmtId="0" fontId="21" fillId="0" borderId="8" xfId="0" quotePrefix="1" applyFont="1" applyBorder="1" applyAlignment="1"/>
    <xf numFmtId="0" fontId="21" fillId="0" borderId="0" xfId="0" applyFont="1" applyBorder="1" applyAlignment="1"/>
    <xf numFmtId="2" fontId="21" fillId="0" borderId="0" xfId="0" applyNumberFormat="1" applyFont="1" applyBorder="1"/>
    <xf numFmtId="0" fontId="0" fillId="0" borderId="0" xfId="0" applyBorder="1" applyAlignment="1">
      <alignment wrapText="1"/>
    </xf>
    <xf numFmtId="0" fontId="67" fillId="0" borderId="20" xfId="0" applyFont="1" applyBorder="1" applyAlignment="1">
      <alignment vertical="top"/>
    </xf>
    <xf numFmtId="0" fontId="67" fillId="0" borderId="8" xfId="0" applyFont="1" applyBorder="1"/>
    <xf numFmtId="2" fontId="0" fillId="0" borderId="8" xfId="0" applyNumberFormat="1" applyBorder="1"/>
    <xf numFmtId="0" fontId="67" fillId="0" borderId="8" xfId="0" applyFont="1" applyFill="1" applyBorder="1"/>
    <xf numFmtId="0" fontId="67" fillId="0" borderId="0" xfId="0" applyFont="1" applyFill="1" applyBorder="1"/>
    <xf numFmtId="0" fontId="54" fillId="0" borderId="0" xfId="0" applyFont="1" applyFill="1" applyBorder="1"/>
    <xf numFmtId="0" fontId="20" fillId="0" borderId="0" xfId="0" applyFont="1"/>
    <xf numFmtId="0" fontId="21" fillId="0" borderId="0" xfId="0" applyFont="1" applyBorder="1" applyAlignment="1">
      <alignment horizontal="center" vertical="center" wrapText="1"/>
    </xf>
    <xf numFmtId="0" fontId="21" fillId="0" borderId="0" xfId="0" applyFont="1" applyBorder="1" applyAlignment="1">
      <alignment horizontal="center" wrapText="1"/>
    </xf>
    <xf numFmtId="2" fontId="21" fillId="0" borderId="0" xfId="0" applyNumberFormat="1" applyFont="1" applyBorder="1" applyAlignment="1">
      <alignment horizontal="right"/>
    </xf>
    <xf numFmtId="0" fontId="20" fillId="0" borderId="0" xfId="0" applyFont="1" applyBorder="1"/>
    <xf numFmtId="0" fontId="72" fillId="0" borderId="0" xfId="0" applyFont="1" applyBorder="1"/>
    <xf numFmtId="2" fontId="71" fillId="0" borderId="0" xfId="72" applyNumberFormat="1" applyFont="1" applyBorder="1" applyAlignment="1">
      <alignment horizontal="right" vertical="center"/>
    </xf>
    <xf numFmtId="0" fontId="0" fillId="0" borderId="15" xfId="0" applyFill="1" applyBorder="1"/>
    <xf numFmtId="0" fontId="0" fillId="0" borderId="18" xfId="0" applyFill="1" applyBorder="1"/>
    <xf numFmtId="0" fontId="0" fillId="0" borderId="19" xfId="0" applyFill="1" applyBorder="1"/>
    <xf numFmtId="0" fontId="21" fillId="0" borderId="0" xfId="0" applyFont="1" applyFill="1" applyBorder="1" applyAlignment="1">
      <alignment horizontal="right"/>
    </xf>
    <xf numFmtId="0" fontId="44" fillId="0" borderId="0" xfId="0" applyFont="1" applyBorder="1" applyAlignment="1">
      <alignment vertical="center"/>
    </xf>
    <xf numFmtId="0" fontId="22" fillId="0" borderId="0" xfId="0" applyFont="1" applyFill="1" applyBorder="1" applyAlignment="1"/>
    <xf numFmtId="0" fontId="54" fillId="0" borderId="8" xfId="0" applyFont="1" applyFill="1" applyBorder="1" applyAlignment="1"/>
    <xf numFmtId="0" fontId="54" fillId="0" borderId="8" xfId="0" applyFont="1" applyFill="1" applyBorder="1"/>
    <xf numFmtId="165" fontId="54" fillId="0" borderId="8" xfId="0" applyNumberFormat="1" applyFont="1" applyFill="1" applyBorder="1" applyAlignment="1">
      <alignment horizontal="center"/>
    </xf>
    <xf numFmtId="0" fontId="55" fillId="0" borderId="0" xfId="0" applyFont="1" applyFill="1" applyBorder="1"/>
    <xf numFmtId="165" fontId="0" fillId="0" borderId="0" xfId="0" applyNumberFormat="1" applyFill="1" applyBorder="1"/>
    <xf numFmtId="0" fontId="0" fillId="0" borderId="17" xfId="0" applyFill="1" applyBorder="1"/>
    <xf numFmtId="0" fontId="55" fillId="0" borderId="17" xfId="0" applyFont="1" applyFill="1" applyBorder="1"/>
    <xf numFmtId="165" fontId="0" fillId="0" borderId="17" xfId="0" applyNumberFormat="1" applyFill="1" applyBorder="1"/>
    <xf numFmtId="0" fontId="19" fillId="0" borderId="0" xfId="0" applyFont="1" applyFill="1" applyBorder="1" applyAlignment="1"/>
    <xf numFmtId="0" fontId="19" fillId="0" borderId="0" xfId="0" applyFont="1" applyFill="1" applyBorder="1"/>
    <xf numFmtId="0" fontId="0" fillId="0" borderId="0" xfId="0" quotePrefix="1" applyFill="1" applyBorder="1"/>
    <xf numFmtId="165" fontId="0" fillId="0" borderId="0" xfId="0" applyNumberFormat="1" applyFill="1"/>
    <xf numFmtId="0" fontId="55" fillId="0" borderId="0" xfId="0" applyFont="1" applyFill="1"/>
    <xf numFmtId="0" fontId="13" fillId="0" borderId="0" xfId="0" applyFont="1" applyBorder="1"/>
    <xf numFmtId="0" fontId="75" fillId="0" borderId="0" xfId="0" applyFont="1" applyBorder="1"/>
    <xf numFmtId="0" fontId="57" fillId="0" borderId="8" xfId="0" applyFont="1" applyBorder="1"/>
    <xf numFmtId="0" fontId="57" fillId="0" borderId="8" xfId="0" applyFont="1" applyBorder="1" applyAlignment="1">
      <alignment horizontal="center"/>
    </xf>
    <xf numFmtId="0" fontId="23" fillId="0" borderId="0" xfId="0" applyFont="1" applyBorder="1" applyAlignment="1">
      <alignment horizontal="center" wrapText="1"/>
    </xf>
    <xf numFmtId="17" fontId="21" fillId="0" borderId="8" xfId="0" applyNumberFormat="1" applyFont="1" applyBorder="1" applyAlignment="1">
      <alignment horizontal="center"/>
    </xf>
    <xf numFmtId="0" fontId="21" fillId="0" borderId="0" xfId="0" applyFont="1" applyBorder="1" applyAlignment="1">
      <alignment horizontal="right"/>
    </xf>
    <xf numFmtId="0" fontId="0" fillId="0" borderId="0" xfId="0" applyBorder="1" applyAlignment="1">
      <alignment horizontal="center" vertical="center" wrapText="1"/>
    </xf>
    <xf numFmtId="0" fontId="21" fillId="0" borderId="8" xfId="0" applyFont="1" applyBorder="1" applyAlignment="1">
      <alignment vertical="center"/>
    </xf>
    <xf numFmtId="0" fontId="19" fillId="0" borderId="0" xfId="0" applyFont="1" applyBorder="1"/>
    <xf numFmtId="0" fontId="0" fillId="0" borderId="0" xfId="0" applyBorder="1" applyAlignment="1">
      <alignment horizontal="left" indent="1"/>
    </xf>
    <xf numFmtId="0" fontId="19" fillId="0" borderId="0" xfId="0" applyFont="1" applyBorder="1" applyAlignment="1">
      <alignment wrapText="1"/>
    </xf>
    <xf numFmtId="0" fontId="57" fillId="0" borderId="0" xfId="0" applyFont="1" applyBorder="1" applyAlignment="1">
      <alignment horizontal="right"/>
    </xf>
    <xf numFmtId="0" fontId="44" fillId="0" borderId="15" xfId="0" applyFont="1" applyBorder="1" applyAlignment="1">
      <alignment vertical="center"/>
    </xf>
    <xf numFmtId="0" fontId="44" fillId="0" borderId="18" xfId="0" applyFont="1" applyBorder="1" applyAlignment="1">
      <alignment vertical="center"/>
    </xf>
    <xf numFmtId="0" fontId="19" fillId="0" borderId="0" xfId="0" applyFont="1" applyBorder="1" applyAlignment="1">
      <alignment vertical="center"/>
    </xf>
    <xf numFmtId="0" fontId="19" fillId="0" borderId="15" xfId="0" applyFont="1" applyBorder="1" applyAlignment="1">
      <alignment vertical="center"/>
    </xf>
    <xf numFmtId="0" fontId="21" fillId="0" borderId="24" xfId="0" applyFont="1" applyBorder="1" applyAlignment="1">
      <alignment horizontal="center" vertical="center"/>
    </xf>
    <xf numFmtId="0" fontId="44" fillId="0" borderId="15" xfId="0" applyFont="1" applyBorder="1" applyAlignment="1">
      <alignment horizontal="center" vertical="center"/>
    </xf>
    <xf numFmtId="2" fontId="44" fillId="0" borderId="18" xfId="0" applyNumberFormat="1" applyFont="1" applyBorder="1" applyAlignment="1">
      <alignment vertical="center"/>
    </xf>
    <xf numFmtId="165" fontId="44" fillId="0" borderId="15" xfId="0" applyNumberFormat="1" applyFont="1" applyBorder="1" applyAlignment="1">
      <alignment vertical="center"/>
    </xf>
    <xf numFmtId="2" fontId="19" fillId="0" borderId="18" xfId="0" applyNumberFormat="1" applyFont="1" applyBorder="1" applyAlignment="1">
      <alignment vertical="center"/>
    </xf>
    <xf numFmtId="165" fontId="19" fillId="0" borderId="15" xfId="0" applyNumberFormat="1" applyFont="1" applyBorder="1" applyAlignment="1">
      <alignment vertical="center"/>
    </xf>
    <xf numFmtId="0" fontId="76" fillId="0" borderId="18" xfId="0" applyFont="1" applyBorder="1" applyAlignment="1">
      <alignment vertical="center"/>
    </xf>
    <xf numFmtId="0" fontId="76" fillId="0" borderId="0" xfId="0" applyFont="1" applyBorder="1" applyAlignment="1">
      <alignment vertical="center"/>
    </xf>
    <xf numFmtId="0" fontId="76" fillId="0" borderId="15" xfId="0" applyFont="1" applyBorder="1" applyAlignment="1">
      <alignment vertical="center"/>
    </xf>
    <xf numFmtId="0" fontId="76" fillId="0" borderId="19" xfId="0" applyFont="1" applyBorder="1" applyAlignment="1">
      <alignment vertical="center"/>
    </xf>
    <xf numFmtId="0" fontId="76" fillId="0" borderId="0" xfId="0" applyFont="1" applyAlignment="1">
      <alignment vertical="center"/>
    </xf>
    <xf numFmtId="0" fontId="20" fillId="0" borderId="13" xfId="0" applyFont="1" applyBorder="1" applyAlignment="1">
      <alignment vertical="center"/>
    </xf>
    <xf numFmtId="4" fontId="20" fillId="0" borderId="13" xfId="0" applyNumberFormat="1" applyFont="1" applyBorder="1" applyAlignment="1">
      <alignment vertical="center"/>
    </xf>
    <xf numFmtId="4" fontId="20" fillId="0" borderId="8" xfId="0" applyNumberFormat="1" applyFont="1" applyBorder="1" applyAlignment="1">
      <alignment vertical="center"/>
    </xf>
    <xf numFmtId="0" fontId="20" fillId="0" borderId="8" xfId="0" applyFont="1" applyBorder="1" applyAlignment="1">
      <alignment vertical="center"/>
    </xf>
    <xf numFmtId="4" fontId="21" fillId="0" borderId="20" xfId="0" applyNumberFormat="1" applyFont="1" applyBorder="1" applyAlignment="1">
      <alignment vertical="center"/>
    </xf>
    <xf numFmtId="4" fontId="21" fillId="0" borderId="13" xfId="0" applyNumberFormat="1" applyFont="1" applyBorder="1" applyAlignment="1">
      <alignment vertical="center"/>
    </xf>
    <xf numFmtId="4" fontId="21" fillId="0" borderId="8" xfId="0" applyNumberFormat="1" applyFont="1" applyBorder="1" applyAlignment="1">
      <alignment vertical="center"/>
    </xf>
    <xf numFmtId="0" fontId="21" fillId="0" borderId="8" xfId="0" applyFont="1" applyBorder="1" applyAlignment="1">
      <alignment horizontal="right" vertical="center"/>
    </xf>
    <xf numFmtId="0" fontId="21" fillId="0" borderId="20" xfId="0" applyFont="1" applyBorder="1" applyAlignment="1">
      <alignment horizontal="right" vertical="center"/>
    </xf>
    <xf numFmtId="0" fontId="21" fillId="0" borderId="8" xfId="72" applyFont="1" applyBorder="1" applyAlignment="1">
      <alignment horizontal="center" vertical="center"/>
    </xf>
    <xf numFmtId="0" fontId="21" fillId="0" borderId="8" xfId="72" applyFont="1" applyBorder="1" applyAlignment="1">
      <alignment vertical="center"/>
    </xf>
    <xf numFmtId="2" fontId="21" fillId="0" borderId="8" xfId="72" applyNumberFormat="1" applyFont="1" applyBorder="1" applyAlignment="1">
      <alignment horizontal="right" vertical="center"/>
    </xf>
    <xf numFmtId="0" fontId="55" fillId="0" borderId="0" xfId="0" applyFont="1" applyBorder="1" applyAlignment="1">
      <alignment horizontal="left"/>
    </xf>
    <xf numFmtId="0" fontId="77" fillId="0" borderId="0" xfId="0" applyFont="1" applyBorder="1" applyAlignment="1">
      <alignment horizontal="center" wrapText="1"/>
    </xf>
    <xf numFmtId="0" fontId="21" fillId="0" borderId="29" xfId="0" applyFont="1" applyBorder="1"/>
    <xf numFmtId="0" fontId="21" fillId="0" borderId="29" xfId="0" applyFont="1" applyFill="1" applyBorder="1"/>
    <xf numFmtId="0" fontId="78" fillId="0" borderId="18" xfId="0" applyFont="1" applyFill="1" applyBorder="1"/>
    <xf numFmtId="0" fontId="52" fillId="0" borderId="0" xfId="0" applyFont="1" applyBorder="1"/>
    <xf numFmtId="0" fontId="79" fillId="0" borderId="0" xfId="0" applyFont="1" applyBorder="1"/>
    <xf numFmtId="0" fontId="80" fillId="0" borderId="0" xfId="0" applyFont="1" applyFill="1" applyBorder="1"/>
    <xf numFmtId="0" fontId="23" fillId="0" borderId="0" xfId="0" applyFont="1" applyBorder="1"/>
    <xf numFmtId="0" fontId="16" fillId="0" borderId="8" xfId="0" applyFont="1" applyBorder="1" applyAlignment="1">
      <alignment horizontal="center"/>
    </xf>
    <xf numFmtId="2" fontId="23" fillId="0" borderId="8" xfId="0" applyNumberFormat="1" applyFont="1" applyBorder="1" applyAlignment="1"/>
    <xf numFmtId="0" fontId="78" fillId="0" borderId="0" xfId="0" applyFont="1" applyFill="1" applyBorder="1"/>
    <xf numFmtId="0" fontId="81" fillId="0" borderId="0" xfId="0" applyFont="1" applyFill="1" applyBorder="1"/>
    <xf numFmtId="0" fontId="16" fillId="0" borderId="30" xfId="0" applyFont="1" applyBorder="1" applyAlignment="1">
      <alignment horizontal="center"/>
    </xf>
    <xf numFmtId="0" fontId="82" fillId="0" borderId="0" xfId="0" applyFont="1" applyBorder="1" applyAlignment="1">
      <alignment horizontal="left"/>
    </xf>
    <xf numFmtId="0" fontId="56" fillId="0" borderId="18" xfId="0" applyFont="1" applyBorder="1"/>
    <xf numFmtId="0" fontId="23" fillId="0" borderId="18" xfId="0" applyFont="1" applyBorder="1"/>
    <xf numFmtId="1" fontId="23" fillId="0" borderId="8" xfId="0" applyNumberFormat="1" applyFont="1" applyBorder="1" applyAlignment="1">
      <alignment horizontal="center"/>
    </xf>
    <xf numFmtId="2" fontId="23" fillId="0" borderId="8" xfId="0" applyNumberFormat="1" applyFont="1" applyBorder="1" applyAlignment="1">
      <alignment horizontal="center"/>
    </xf>
    <xf numFmtId="0" fontId="23" fillId="0" borderId="0" xfId="0" applyFont="1" applyBorder="1" applyAlignment="1">
      <alignment horizontal="center" vertical="center"/>
    </xf>
    <xf numFmtId="10" fontId="23" fillId="0" borderId="0" xfId="0" applyNumberFormat="1" applyFont="1" applyBorder="1" applyAlignment="1">
      <alignment horizontal="center" vertical="center"/>
    </xf>
    <xf numFmtId="0" fontId="20" fillId="0" borderId="17" xfId="0" applyFont="1" applyBorder="1" applyAlignment="1">
      <alignment vertical="center"/>
    </xf>
    <xf numFmtId="0" fontId="0" fillId="0" borderId="0" xfId="0" applyAlignment="1">
      <alignment horizontal="center"/>
    </xf>
    <xf numFmtId="2" fontId="54" fillId="0" borderId="0" xfId="72" applyNumberFormat="1" applyFont="1" applyBorder="1" applyAlignment="1">
      <alignment horizontal="right" vertical="center"/>
    </xf>
    <xf numFmtId="0" fontId="0" fillId="0" borderId="0" xfId="0" applyAlignment="1">
      <alignment horizontal="right"/>
    </xf>
    <xf numFmtId="4" fontId="20" fillId="0" borderId="0" xfId="0" applyNumberFormat="1" applyFont="1" applyBorder="1" applyAlignment="1">
      <alignment vertical="center"/>
    </xf>
    <xf numFmtId="0" fontId="44" fillId="0" borderId="0" xfId="59" applyFont="1" applyBorder="1" applyAlignment="1"/>
    <xf numFmtId="0" fontId="65" fillId="0" borderId="0" xfId="0" applyFont="1" applyFill="1" applyBorder="1" applyAlignment="1">
      <alignment horizontal="center"/>
    </xf>
    <xf numFmtId="0" fontId="20" fillId="0" borderId="0" xfId="59" applyFont="1" applyBorder="1" applyAlignment="1">
      <alignment horizontal="left"/>
    </xf>
    <xf numFmtId="0" fontId="0" fillId="0" borderId="31" xfId="0" applyBorder="1"/>
    <xf numFmtId="0" fontId="44" fillId="0" borderId="17" xfId="0" applyFont="1" applyBorder="1" applyAlignment="1">
      <alignment vertical="center"/>
    </xf>
    <xf numFmtId="0" fontId="44" fillId="0" borderId="0" xfId="0" applyFont="1" applyAlignment="1">
      <alignment vertical="center"/>
    </xf>
    <xf numFmtId="0" fontId="16" fillId="0" borderId="8" xfId="72" applyFont="1" applyBorder="1" applyAlignment="1">
      <alignment vertical="center"/>
    </xf>
    <xf numFmtId="0" fontId="67" fillId="0" borderId="0" xfId="0" applyFont="1" applyBorder="1" applyAlignment="1">
      <alignment horizontal="center"/>
    </xf>
    <xf numFmtId="0" fontId="13" fillId="0" borderId="32" xfId="0" applyFont="1" applyBorder="1"/>
    <xf numFmtId="0" fontId="72" fillId="0" borderId="0" xfId="0" applyFont="1"/>
    <xf numFmtId="2" fontId="72" fillId="0" borderId="0" xfId="0" applyNumberFormat="1" applyFont="1"/>
    <xf numFmtId="0" fontId="13" fillId="0" borderId="31" xfId="0" applyFont="1" applyBorder="1"/>
    <xf numFmtId="0" fontId="21" fillId="0" borderId="13" xfId="0" applyFont="1" applyBorder="1" applyAlignment="1">
      <alignment horizontal="center"/>
    </xf>
    <xf numFmtId="0" fontId="55" fillId="0" borderId="0" xfId="72" applyFont="1" applyBorder="1" applyAlignment="1">
      <alignment horizontal="right" vertical="center"/>
    </xf>
    <xf numFmtId="0" fontId="55" fillId="0" borderId="0" xfId="72" applyFont="1" applyBorder="1" applyAlignment="1">
      <alignment vertical="center"/>
    </xf>
    <xf numFmtId="0" fontId="21" fillId="0" borderId="13" xfId="0" applyFont="1" applyBorder="1"/>
    <xf numFmtId="0" fontId="21" fillId="0" borderId="13" xfId="0" applyFont="1" applyBorder="1" applyAlignment="1"/>
    <xf numFmtId="0" fontId="0" fillId="0" borderId="33" xfId="0" applyBorder="1"/>
    <xf numFmtId="0" fontId="21" fillId="0" borderId="0" xfId="72" applyFont="1" applyBorder="1" applyAlignment="1">
      <alignment vertical="center"/>
    </xf>
    <xf numFmtId="0" fontId="19" fillId="0" borderId="8" xfId="72" applyFont="1" applyBorder="1" applyAlignment="1">
      <alignment vertical="center"/>
    </xf>
    <xf numFmtId="0" fontId="88" fillId="0" borderId="18" xfId="0" applyFont="1" applyFill="1" applyBorder="1" applyAlignment="1">
      <alignment horizontal="center" vertical="center"/>
    </xf>
    <xf numFmtId="0" fontId="88" fillId="0" borderId="0" xfId="0" applyFont="1" applyFill="1" applyBorder="1" applyAlignment="1">
      <alignment horizontal="center" vertical="center"/>
    </xf>
    <xf numFmtId="0" fontId="88" fillId="0" borderId="15" xfId="0" applyFont="1" applyFill="1" applyBorder="1" applyAlignment="1">
      <alignment horizontal="center" vertical="center"/>
    </xf>
    <xf numFmtId="0" fontId="18" fillId="0" borderId="0" xfId="0" applyFont="1" applyBorder="1"/>
    <xf numFmtId="0" fontId="18" fillId="0" borderId="18" xfId="0" applyFont="1" applyBorder="1"/>
    <xf numFmtId="2" fontId="23" fillId="0" borderId="8" xfId="0" applyNumberFormat="1" applyFont="1" applyBorder="1" applyAlignment="1">
      <alignment horizontal="right"/>
    </xf>
    <xf numFmtId="0" fontId="91" fillId="0" borderId="0" xfId="0" applyFont="1" applyBorder="1" applyAlignment="1">
      <alignment horizontal="center" wrapText="1"/>
    </xf>
    <xf numFmtId="0" fontId="92" fillId="0" borderId="8" xfId="0" applyFont="1" applyBorder="1" applyAlignment="1">
      <alignment horizontal="center"/>
    </xf>
    <xf numFmtId="0" fontId="93" fillId="0" borderId="8" xfId="0" applyFont="1" applyBorder="1" applyAlignment="1">
      <alignment horizontal="center"/>
    </xf>
    <xf numFmtId="0" fontId="95" fillId="0" borderId="21" xfId="0" applyFont="1" applyBorder="1" applyAlignment="1">
      <alignment wrapText="1"/>
    </xf>
    <xf numFmtId="0" fontId="91" fillId="0" borderId="0" xfId="0" applyFont="1" applyBorder="1" applyAlignment="1">
      <alignment horizontal="center"/>
    </xf>
    <xf numFmtId="0" fontId="95" fillId="0" borderId="0" xfId="0" applyFont="1"/>
    <xf numFmtId="0" fontId="95" fillId="0" borderId="8" xfId="0" applyFont="1" applyFill="1" applyBorder="1"/>
    <xf numFmtId="0" fontId="95" fillId="0" borderId="8" xfId="0" applyFont="1" applyBorder="1"/>
    <xf numFmtId="0" fontId="93" fillId="0" borderId="8" xfId="0" applyFont="1" applyFill="1" applyBorder="1" applyAlignment="1">
      <alignment horizontal="center"/>
    </xf>
    <xf numFmtId="0" fontId="95" fillId="0" borderId="8" xfId="0" applyFont="1" applyBorder="1" applyAlignment="1"/>
    <xf numFmtId="0" fontId="95" fillId="0" borderId="8" xfId="0" applyFont="1" applyBorder="1" applyAlignment="1">
      <alignment wrapText="1"/>
    </xf>
    <xf numFmtId="0" fontId="95" fillId="0" borderId="8" xfId="0" applyFont="1" applyBorder="1" applyAlignment="1">
      <alignment vertical="center" wrapText="1"/>
    </xf>
    <xf numFmtId="0" fontId="96" fillId="0" borderId="8" xfId="0" applyFont="1" applyBorder="1" applyAlignment="1">
      <alignment vertical="center" wrapText="1"/>
    </xf>
    <xf numFmtId="0" fontId="97" fillId="0" borderId="0" xfId="0" applyFont="1" applyBorder="1" applyAlignment="1">
      <alignment wrapText="1"/>
    </xf>
    <xf numFmtId="0" fontId="93" fillId="0" borderId="8" xfId="0" applyFont="1" applyBorder="1" applyAlignment="1">
      <alignment horizontal="center" vertical="center"/>
    </xf>
    <xf numFmtId="0" fontId="99" fillId="0" borderId="0" xfId="0" applyFont="1"/>
    <xf numFmtId="0" fontId="92" fillId="0" borderId="0" xfId="0" applyFont="1" applyAlignment="1">
      <alignment horizontal="center"/>
    </xf>
    <xf numFmtId="0" fontId="97" fillId="28" borderId="8" xfId="0" applyFont="1" applyFill="1" applyBorder="1" applyAlignment="1">
      <alignment horizontal="center"/>
    </xf>
    <xf numFmtId="0" fontId="93" fillId="0" borderId="8" xfId="0" applyFont="1" applyBorder="1" applyAlignment="1">
      <alignment horizontal="center" vertical="center" wrapText="1"/>
    </xf>
    <xf numFmtId="0" fontId="95" fillId="0" borderId="0" xfId="0" applyFont="1" applyBorder="1"/>
    <xf numFmtId="0" fontId="0" fillId="0" borderId="0" xfId="0" applyBorder="1" applyAlignment="1">
      <alignment horizontal="left"/>
    </xf>
    <xf numFmtId="0" fontId="91" fillId="0" borderId="0" xfId="0" applyFont="1" applyBorder="1" applyAlignment="1">
      <alignment vertical="center"/>
    </xf>
    <xf numFmtId="0" fontId="95" fillId="0" borderId="0" xfId="0" applyFont="1" applyBorder="1" applyAlignment="1">
      <alignment vertical="center"/>
    </xf>
    <xf numFmtId="0" fontId="95" fillId="0" borderId="8" xfId="0" applyFont="1" applyBorder="1" applyAlignment="1">
      <alignment vertical="center"/>
    </xf>
    <xf numFmtId="0" fontId="66" fillId="0" borderId="32" xfId="0" applyFont="1" applyBorder="1"/>
    <xf numFmtId="0" fontId="66" fillId="0" borderId="33" xfId="0" applyFont="1" applyBorder="1"/>
    <xf numFmtId="0" fontId="104" fillId="0" borderId="0" xfId="0" applyFont="1" applyBorder="1"/>
    <xf numFmtId="0" fontId="104" fillId="0" borderId="0" xfId="0" applyFont="1"/>
    <xf numFmtId="0" fontId="16" fillId="0" borderId="8" xfId="72" applyFont="1" applyBorder="1" applyAlignment="1">
      <alignment vertical="center" wrapText="1"/>
    </xf>
    <xf numFmtId="0" fontId="16" fillId="0" borderId="8" xfId="72" applyFont="1" applyBorder="1" applyAlignment="1">
      <alignment horizontal="center" vertical="center"/>
    </xf>
    <xf numFmtId="0" fontId="105" fillId="0" borderId="8" xfId="0" applyFont="1" applyBorder="1" applyAlignment="1">
      <alignment vertical="center"/>
    </xf>
    <xf numFmtId="0" fontId="105" fillId="0" borderId="8" xfId="0" applyFont="1" applyBorder="1" applyAlignment="1">
      <alignment vertical="center" wrapText="1"/>
    </xf>
    <xf numFmtId="2" fontId="16" fillId="0" borderId="8" xfId="72" applyNumberFormat="1" applyFont="1" applyBorder="1" applyAlignment="1">
      <alignment horizontal="right" vertical="center"/>
    </xf>
    <xf numFmtId="0" fontId="23" fillId="0" borderId="0" xfId="72" applyFont="1" applyBorder="1" applyAlignment="1">
      <alignment horizontal="right" vertical="center"/>
    </xf>
    <xf numFmtId="0" fontId="22" fillId="0" borderId="0" xfId="0" applyFont="1" applyBorder="1"/>
    <xf numFmtId="0" fontId="104" fillId="0" borderId="34" xfId="0" applyFont="1" applyBorder="1"/>
    <xf numFmtId="0" fontId="20" fillId="0" borderId="8" xfId="0" applyFont="1" applyBorder="1" applyAlignment="1">
      <alignment horizontal="center"/>
    </xf>
    <xf numFmtId="0" fontId="23" fillId="0" borderId="0" xfId="72" applyFont="1" applyBorder="1" applyAlignment="1">
      <alignment vertical="center"/>
    </xf>
    <xf numFmtId="2" fontId="23" fillId="0" borderId="0" xfId="72" applyNumberFormat="1" applyFont="1" applyBorder="1" applyAlignment="1">
      <alignment vertical="center"/>
    </xf>
    <xf numFmtId="2" fontId="55" fillId="0" borderId="0" xfId="72" applyNumberFormat="1" applyFont="1" applyBorder="1" applyAlignment="1">
      <alignment vertical="center"/>
    </xf>
    <xf numFmtId="0" fontId="22" fillId="0" borderId="31" xfId="0" applyFont="1" applyBorder="1" applyAlignment="1">
      <alignment vertical="center"/>
    </xf>
    <xf numFmtId="164" fontId="21" fillId="0" borderId="8" xfId="0" applyNumberFormat="1" applyFont="1" applyBorder="1"/>
    <xf numFmtId="0" fontId="21" fillId="0" borderId="17" xfId="0" applyFont="1" applyBorder="1" applyAlignment="1">
      <alignment horizontal="right" vertical="center"/>
    </xf>
    <xf numFmtId="0" fontId="21" fillId="0" borderId="29" xfId="0" applyFont="1" applyBorder="1" applyAlignment="1">
      <alignment horizontal="right" vertical="center"/>
    </xf>
    <xf numFmtId="0" fontId="22" fillId="0" borderId="0" xfId="0" applyFont="1" applyBorder="1" applyAlignment="1">
      <alignment vertical="center"/>
    </xf>
    <xf numFmtId="0" fontId="75" fillId="0" borderId="0" xfId="0" applyFont="1" applyBorder="1" applyAlignment="1">
      <alignment horizontal="right" vertical="center"/>
    </xf>
    <xf numFmtId="0" fontId="21" fillId="0" borderId="8" xfId="0" applyFont="1" applyBorder="1" applyAlignment="1">
      <alignment vertical="center" wrapText="1"/>
    </xf>
    <xf numFmtId="0" fontId="20" fillId="0" borderId="4" xfId="0" applyFont="1" applyBorder="1"/>
    <xf numFmtId="0" fontId="57" fillId="0" borderId="8" xfId="0" applyFont="1" applyFill="1" applyBorder="1"/>
    <xf numFmtId="0" fontId="16" fillId="0" borderId="0" xfId="0" applyFont="1" applyBorder="1"/>
    <xf numFmtId="0" fontId="19" fillId="0" borderId="0" xfId="72" applyFont="1" applyBorder="1" applyAlignment="1">
      <alignment vertical="center"/>
    </xf>
    <xf numFmtId="0" fontId="21" fillId="0" borderId="15" xfId="0" applyFont="1" applyBorder="1" applyAlignment="1">
      <alignment horizontal="center" vertical="center" wrapText="1"/>
    </xf>
    <xf numFmtId="2" fontId="21" fillId="0" borderId="15" xfId="0" applyNumberFormat="1" applyFont="1" applyBorder="1"/>
    <xf numFmtId="0" fontId="21" fillId="0" borderId="15" xfId="0" applyFont="1" applyBorder="1" applyAlignment="1">
      <alignment horizontal="center" wrapText="1"/>
    </xf>
    <xf numFmtId="0" fontId="57" fillId="0" borderId="13" xfId="0" applyFont="1" applyBorder="1" applyAlignment="1">
      <alignment horizontal="center" vertical="center"/>
    </xf>
    <xf numFmtId="0" fontId="115" fillId="0" borderId="0" xfId="0" applyFont="1"/>
    <xf numFmtId="0" fontId="53" fillId="0" borderId="8" xfId="0" applyFont="1" applyBorder="1" applyAlignment="1">
      <alignment horizontal="center"/>
    </xf>
    <xf numFmtId="0" fontId="115" fillId="0" borderId="8" xfId="0" applyFont="1" applyBorder="1" applyAlignment="1">
      <alignment horizontal="center"/>
    </xf>
    <xf numFmtId="0" fontId="56" fillId="0" borderId="0" xfId="0" applyFont="1" applyBorder="1" applyAlignment="1">
      <alignment horizontal="center" vertical="center"/>
    </xf>
    <xf numFmtId="0" fontId="115" fillId="0" borderId="15" xfId="0" applyFont="1" applyBorder="1"/>
    <xf numFmtId="0" fontId="115" fillId="0" borderId="0" xfId="0" applyFont="1" applyBorder="1"/>
    <xf numFmtId="0" fontId="22" fillId="0" borderId="0" xfId="0" applyFont="1"/>
    <xf numFmtId="0" fontId="21" fillId="0" borderId="15" xfId="0" applyFont="1" applyBorder="1"/>
    <xf numFmtId="0" fontId="63" fillId="0" borderId="8" xfId="0" applyFont="1" applyBorder="1" applyAlignment="1">
      <alignment horizontal="center"/>
    </xf>
    <xf numFmtId="0" fontId="95" fillId="0" borderId="8" xfId="0" applyFont="1" applyBorder="1" applyAlignment="1">
      <alignment horizontal="left" vertical="center"/>
    </xf>
    <xf numFmtId="0" fontId="104" fillId="0" borderId="32" xfId="0" applyFont="1" applyBorder="1"/>
    <xf numFmtId="0" fontId="0" fillId="0" borderId="37" xfId="0" applyBorder="1"/>
    <xf numFmtId="0" fontId="0" fillId="0" borderId="29" xfId="0" applyBorder="1"/>
    <xf numFmtId="0" fontId="116" fillId="0" borderId="0" xfId="0" applyFont="1" applyBorder="1" applyAlignment="1">
      <alignment vertical="center"/>
    </xf>
    <xf numFmtId="0" fontId="116" fillId="0" borderId="0" xfId="0" applyFont="1" applyAlignment="1">
      <alignment vertical="center"/>
    </xf>
    <xf numFmtId="0" fontId="116" fillId="0" borderId="0" xfId="0" applyFont="1" applyAlignment="1">
      <alignment horizontal="right" vertical="center"/>
    </xf>
    <xf numFmtId="0" fontId="116" fillId="0" borderId="0" xfId="0" applyFont="1" applyAlignment="1">
      <alignment horizontal="center" vertical="center"/>
    </xf>
    <xf numFmtId="1" fontId="116" fillId="0" borderId="0" xfId="0" applyNumberFormat="1" applyFont="1" applyAlignment="1">
      <alignment vertical="center"/>
    </xf>
    <xf numFmtId="0" fontId="0" fillId="0" borderId="38" xfId="0" applyBorder="1"/>
    <xf numFmtId="0" fontId="0" fillId="0" borderId="39" xfId="0" applyBorder="1"/>
    <xf numFmtId="0" fontId="0" fillId="0" borderId="40" xfId="0" applyBorder="1"/>
    <xf numFmtId="0" fontId="120" fillId="0" borderId="38" xfId="0" applyFont="1" applyBorder="1"/>
    <xf numFmtId="0" fontId="120" fillId="0" borderId="39" xfId="0" applyFont="1" applyBorder="1"/>
    <xf numFmtId="0" fontId="120" fillId="0" borderId="40" xfId="0" applyFont="1" applyBorder="1"/>
    <xf numFmtId="0" fontId="120" fillId="0" borderId="18" xfId="0" applyFont="1" applyBorder="1"/>
    <xf numFmtId="0" fontId="120" fillId="0" borderId="0" xfId="0" applyFont="1" applyBorder="1"/>
    <xf numFmtId="0" fontId="120" fillId="0" borderId="15" xfId="0" applyFont="1" applyBorder="1"/>
    <xf numFmtId="0" fontId="120" fillId="0" borderId="19" xfId="0" applyFont="1" applyBorder="1"/>
    <xf numFmtId="0" fontId="120" fillId="0" borderId="17" xfId="0" applyFont="1" applyBorder="1"/>
    <xf numFmtId="0" fontId="120" fillId="0" borderId="29" xfId="0" applyFont="1" applyBorder="1"/>
    <xf numFmtId="0" fontId="121" fillId="0" borderId="18" xfId="0" applyFont="1" applyBorder="1"/>
    <xf numFmtId="0" fontId="121" fillId="0" borderId="0" xfId="0" applyFont="1" applyBorder="1"/>
    <xf numFmtId="0" fontId="121" fillId="0" borderId="15" xfId="0" applyFont="1" applyBorder="1"/>
    <xf numFmtId="0" fontId="98" fillId="0" borderId="18" xfId="0" applyFont="1" applyBorder="1" applyAlignment="1">
      <alignment horizontal="center"/>
    </xf>
    <xf numFmtId="0" fontId="98" fillId="0" borderId="0" xfId="0" applyFont="1" applyBorder="1" applyAlignment="1">
      <alignment horizontal="center"/>
    </xf>
    <xf numFmtId="0" fontId="91" fillId="0" borderId="8" xfId="0" applyFont="1" applyBorder="1" applyAlignment="1">
      <alignment horizontal="center"/>
    </xf>
    <xf numFmtId="0" fontId="123" fillId="0" borderId="8" xfId="0" applyFont="1" applyBorder="1"/>
    <xf numFmtId="0" fontId="123" fillId="0" borderId="8" xfId="0" applyFont="1" applyFill="1" applyBorder="1"/>
    <xf numFmtId="0" fontId="104" fillId="0" borderId="8" xfId="0" applyFont="1" applyBorder="1"/>
    <xf numFmtId="0" fontId="18" fillId="0" borderId="8" xfId="0" applyFont="1" applyBorder="1"/>
    <xf numFmtId="2" fontId="16" fillId="0" borderId="8" xfId="72" applyNumberFormat="1" applyFont="1" applyBorder="1" applyAlignment="1">
      <alignment horizontal="center" vertical="center" wrapText="1"/>
    </xf>
    <xf numFmtId="0" fontId="16" fillId="0" borderId="8" xfId="72" applyFont="1" applyBorder="1" applyAlignment="1">
      <alignment horizontal="center" vertical="center" wrapText="1"/>
    </xf>
    <xf numFmtId="0" fontId="22" fillId="0" borderId="0" xfId="0" applyFont="1" applyAlignment="1">
      <alignment vertical="center"/>
    </xf>
    <xf numFmtId="0" fontId="140" fillId="0" borderId="0" xfId="0" applyFont="1" applyBorder="1" applyAlignment="1"/>
    <xf numFmtId="0" fontId="141" fillId="0" borderId="0" xfId="0" applyFont="1" applyBorder="1"/>
    <xf numFmtId="2" fontId="140" fillId="0" borderId="0" xfId="72" applyNumberFormat="1" applyFont="1" applyBorder="1" applyAlignment="1">
      <alignment horizontal="right" vertical="center"/>
    </xf>
    <xf numFmtId="2" fontId="141" fillId="0" borderId="0" xfId="0" applyNumberFormat="1" applyFont="1" applyBorder="1"/>
    <xf numFmtId="2" fontId="141" fillId="0" borderId="0" xfId="0" applyNumberFormat="1" applyFont="1" applyFill="1" applyBorder="1"/>
    <xf numFmtId="0" fontId="141" fillId="0" borderId="0" xfId="0" applyFont="1" applyFill="1" applyBorder="1"/>
    <xf numFmtId="0" fontId="141" fillId="0" borderId="0" xfId="0" applyFont="1"/>
    <xf numFmtId="17" fontId="21" fillId="0" borderId="8" xfId="0" applyNumberFormat="1" applyFont="1" applyBorder="1" applyAlignment="1">
      <alignment horizontal="center" vertical="center"/>
    </xf>
    <xf numFmtId="2" fontId="67" fillId="0" borderId="8" xfId="0" applyNumberFormat="1" applyFont="1" applyBorder="1" applyAlignment="1">
      <alignment horizontal="center"/>
    </xf>
    <xf numFmtId="0" fontId="13" fillId="0" borderId="0" xfId="0" applyFont="1" applyBorder="1" applyAlignment="1">
      <alignment horizontal="left"/>
    </xf>
    <xf numFmtId="0" fontId="20" fillId="0" borderId="8" xfId="0" applyFont="1" applyBorder="1" applyAlignment="1">
      <alignment horizontal="center" vertical="top"/>
    </xf>
    <xf numFmtId="0" fontId="17" fillId="0" borderId="0" xfId="58" applyFont="1" applyBorder="1"/>
    <xf numFmtId="2" fontId="17" fillId="0" borderId="0" xfId="58" applyNumberFormat="1" applyFont="1" applyBorder="1"/>
    <xf numFmtId="0" fontId="17" fillId="0" borderId="32" xfId="58" applyFont="1" applyBorder="1"/>
    <xf numFmtId="17" fontId="21" fillId="0" borderId="13" xfId="0" applyNumberFormat="1" applyFont="1" applyBorder="1" applyAlignment="1">
      <alignment horizontal="center"/>
    </xf>
    <xf numFmtId="0" fontId="20" fillId="0" borderId="0" xfId="0" applyFont="1" applyAlignment="1">
      <alignment vertical="center"/>
    </xf>
    <xf numFmtId="0" fontId="57" fillId="0" borderId="32" xfId="0" applyFont="1" applyBorder="1" applyAlignment="1">
      <alignment horizontal="center" vertical="center"/>
    </xf>
    <xf numFmtId="0" fontId="57" fillId="0" borderId="24" xfId="0" applyFont="1" applyBorder="1" applyAlignment="1">
      <alignment horizontal="center" vertical="center"/>
    </xf>
    <xf numFmtId="165" fontId="22" fillId="0" borderId="0" xfId="0" applyNumberFormat="1" applyFont="1" applyAlignment="1">
      <alignment vertical="center"/>
    </xf>
    <xf numFmtId="0" fontId="107" fillId="0" borderId="0" xfId="72" applyFont="1" applyFill="1" applyBorder="1" applyAlignment="1">
      <alignment horizontal="center" vertical="center"/>
    </xf>
    <xf numFmtId="0" fontId="65" fillId="0" borderId="0" xfId="0" applyFont="1" applyAlignment="1"/>
    <xf numFmtId="0" fontId="0" fillId="0" borderId="70" xfId="0" applyBorder="1"/>
    <xf numFmtId="0" fontId="95" fillId="0" borderId="8" xfId="0" applyFont="1" applyBorder="1" applyAlignment="1">
      <alignment horizontal="center" vertical="center"/>
    </xf>
    <xf numFmtId="0" fontId="20" fillId="0" borderId="0" xfId="58"/>
    <xf numFmtId="0" fontId="20" fillId="0" borderId="25" xfId="58" applyBorder="1"/>
    <xf numFmtId="0" fontId="20" fillId="0" borderId="17" xfId="58" applyBorder="1"/>
    <xf numFmtId="2" fontId="20" fillId="0" borderId="17" xfId="58" applyNumberFormat="1" applyBorder="1"/>
    <xf numFmtId="0" fontId="20" fillId="0" borderId="0" xfId="58" applyBorder="1"/>
    <xf numFmtId="0" fontId="20" fillId="0" borderId="26" xfId="58" applyBorder="1"/>
    <xf numFmtId="2" fontId="21" fillId="0" borderId="8" xfId="58" applyNumberFormat="1" applyFont="1" applyBorder="1" applyAlignment="1">
      <alignment horizontal="center" vertical="center"/>
    </xf>
    <xf numFmtId="0" fontId="20" fillId="0" borderId="41" xfId="58" applyBorder="1"/>
    <xf numFmtId="0" fontId="20" fillId="0" borderId="8" xfId="58" applyBorder="1"/>
    <xf numFmtId="2" fontId="20" fillId="0" borderId="8" xfId="58" applyNumberFormat="1" applyBorder="1"/>
    <xf numFmtId="0" fontId="20" fillId="0" borderId="45" xfId="58" applyBorder="1"/>
    <xf numFmtId="0" fontId="21" fillId="0" borderId="46" xfId="58" applyFont="1" applyBorder="1"/>
    <xf numFmtId="2" fontId="21" fillId="0" borderId="47" xfId="58" applyNumberFormat="1" applyFont="1" applyBorder="1"/>
    <xf numFmtId="0" fontId="57" fillId="0" borderId="0" xfId="58" applyFont="1" applyBorder="1"/>
    <xf numFmtId="0" fontId="73" fillId="0" borderId="31" xfId="58" applyFont="1" applyBorder="1"/>
    <xf numFmtId="2" fontId="73" fillId="0" borderId="23" xfId="58" applyNumberFormat="1" applyFont="1" applyBorder="1"/>
    <xf numFmtId="0" fontId="73" fillId="0" borderId="23" xfId="58" applyFont="1" applyBorder="1"/>
    <xf numFmtId="0" fontId="84" fillId="0" borderId="0" xfId="58" applyFont="1" applyBorder="1"/>
    <xf numFmtId="2" fontId="20" fillId="0" borderId="0" xfId="58" applyNumberFormat="1" applyBorder="1"/>
    <xf numFmtId="0" fontId="72" fillId="0" borderId="0" xfId="58" applyFont="1" applyBorder="1"/>
    <xf numFmtId="0" fontId="21" fillId="0" borderId="0" xfId="58" applyFont="1" applyBorder="1"/>
    <xf numFmtId="0" fontId="74" fillId="0" borderId="0" xfId="58" applyFont="1" applyBorder="1"/>
    <xf numFmtId="2" fontId="74" fillId="0" borderId="0" xfId="58" applyNumberFormat="1" applyFont="1" applyBorder="1"/>
    <xf numFmtId="0" fontId="20" fillId="0" borderId="27" xfId="58" applyBorder="1"/>
    <xf numFmtId="0" fontId="20" fillId="0" borderId="16" xfId="58" applyBorder="1"/>
    <xf numFmtId="2" fontId="20" fillId="0" borderId="16" xfId="58" applyNumberFormat="1" applyBorder="1"/>
    <xf numFmtId="0" fontId="21" fillId="0" borderId="16" xfId="58" applyFont="1" applyBorder="1"/>
    <xf numFmtId="2" fontId="20" fillId="0" borderId="0" xfId="58" applyNumberFormat="1"/>
    <xf numFmtId="0" fontId="129" fillId="0" borderId="8" xfId="0" applyFont="1" applyFill="1" applyBorder="1" applyAlignment="1">
      <alignment horizontal="center" vertical="top"/>
    </xf>
    <xf numFmtId="3" fontId="0" fillId="0" borderId="8" xfId="0" applyNumberFormat="1" applyFill="1" applyBorder="1"/>
    <xf numFmtId="0" fontId="99" fillId="0" borderId="40" xfId="0" applyFont="1" applyBorder="1"/>
    <xf numFmtId="0" fontId="98" fillId="0" borderId="15" xfId="0" applyFont="1" applyBorder="1" applyAlignment="1"/>
    <xf numFmtId="0" fontId="99" fillId="0" borderId="15" xfId="0" applyFont="1" applyBorder="1"/>
    <xf numFmtId="0" fontId="95" fillId="0" borderId="15" xfId="0" applyFont="1" applyBorder="1"/>
    <xf numFmtId="0" fontId="99" fillId="0" borderId="29" xfId="0" applyFont="1" applyBorder="1"/>
    <xf numFmtId="0" fontId="92" fillId="28" borderId="41" xfId="0" applyFont="1" applyFill="1" applyBorder="1" applyAlignment="1">
      <alignment horizontal="center"/>
    </xf>
    <xf numFmtId="0" fontId="92" fillId="0" borderId="41" xfId="0" applyFont="1" applyBorder="1" applyAlignment="1">
      <alignment horizontal="center"/>
    </xf>
    <xf numFmtId="0" fontId="93" fillId="0" borderId="41" xfId="0" applyFont="1" applyBorder="1" applyAlignment="1">
      <alignment horizontal="center" vertical="center" wrapText="1"/>
    </xf>
    <xf numFmtId="0" fontId="93" fillId="0" borderId="41" xfId="0" applyFont="1" applyBorder="1" applyAlignment="1">
      <alignment horizontal="center" wrapText="1"/>
    </xf>
    <xf numFmtId="0" fontId="94" fillId="0" borderId="41" xfId="0" applyFont="1" applyBorder="1" applyAlignment="1">
      <alignment horizontal="center" wrapText="1"/>
    </xf>
    <xf numFmtId="0" fontId="92" fillId="0" borderId="41" xfId="0" applyFont="1" applyFill="1" applyBorder="1" applyAlignment="1">
      <alignment horizontal="center"/>
    </xf>
    <xf numFmtId="49" fontId="98" fillId="0" borderId="45" xfId="0" applyNumberFormat="1" applyFont="1" applyBorder="1" applyAlignment="1">
      <alignment horizontal="center"/>
    </xf>
    <xf numFmtId="0" fontId="0" fillId="0" borderId="18" xfId="0" applyBorder="1" applyAlignment="1"/>
    <xf numFmtId="0" fontId="21" fillId="0" borderId="15" xfId="0" applyFont="1" applyBorder="1" applyAlignment="1"/>
    <xf numFmtId="0" fontId="0" fillId="0" borderId="15" xfId="0" applyBorder="1" applyAlignment="1"/>
    <xf numFmtId="0" fontId="21" fillId="0" borderId="29" xfId="0" applyFont="1" applyBorder="1" applyAlignment="1"/>
    <xf numFmtId="2" fontId="13" fillId="0" borderId="0" xfId="0" applyNumberFormat="1" applyFont="1"/>
    <xf numFmtId="2" fontId="20" fillId="0" borderId="0" xfId="0" applyNumberFormat="1" applyFont="1" applyBorder="1"/>
    <xf numFmtId="0" fontId="69" fillId="0" borderId="33" xfId="0" applyFont="1" applyFill="1" applyBorder="1" applyAlignment="1">
      <alignment horizontal="right" vertical="center"/>
    </xf>
    <xf numFmtId="0" fontId="61" fillId="0" borderId="33" xfId="0" applyFont="1" applyFill="1" applyBorder="1" applyAlignment="1">
      <alignment horizontal="right" vertical="center"/>
    </xf>
    <xf numFmtId="0" fontId="109" fillId="0" borderId="22" xfId="0" applyFont="1" applyFill="1" applyBorder="1" applyAlignment="1">
      <alignment horizontal="center" vertical="center"/>
    </xf>
    <xf numFmtId="0" fontId="111" fillId="0" borderId="23" xfId="0" applyFont="1" applyFill="1" applyBorder="1" applyAlignment="1">
      <alignment vertical="center"/>
    </xf>
    <xf numFmtId="0" fontId="60" fillId="0" borderId="23" xfId="0" applyFont="1" applyFill="1" applyBorder="1" applyAlignment="1">
      <alignment horizontal="center" vertical="center"/>
    </xf>
    <xf numFmtId="0" fontId="111" fillId="0" borderId="13" xfId="0" applyFont="1" applyFill="1" applyBorder="1" applyAlignment="1">
      <alignment vertical="center"/>
    </xf>
    <xf numFmtId="0" fontId="22" fillId="0" borderId="23" xfId="0" applyFont="1" applyFill="1" applyBorder="1" applyAlignment="1">
      <alignment horizontal="center" vertical="center"/>
    </xf>
    <xf numFmtId="0" fontId="22" fillId="0" borderId="24" xfId="0" applyFont="1" applyFill="1" applyBorder="1" applyAlignment="1">
      <alignment horizontal="center" vertical="center"/>
    </xf>
    <xf numFmtId="0" fontId="113" fillId="0" borderId="32" xfId="0" applyFont="1" applyFill="1" applyBorder="1" applyAlignment="1">
      <alignment vertical="center"/>
    </xf>
    <xf numFmtId="0" fontId="109" fillId="0" borderId="32" xfId="0" applyFont="1" applyFill="1" applyBorder="1" applyAlignment="1">
      <alignment vertical="center"/>
    </xf>
    <xf numFmtId="0" fontId="110" fillId="0" borderId="51" xfId="0" applyFont="1" applyFill="1" applyBorder="1" applyAlignment="1">
      <alignment vertical="center"/>
    </xf>
    <xf numFmtId="0" fontId="109" fillId="0" borderId="23" xfId="0" applyFont="1" applyFill="1" applyBorder="1" applyAlignment="1">
      <alignment vertical="center"/>
    </xf>
    <xf numFmtId="0" fontId="109" fillId="0" borderId="23" xfId="0" applyFont="1" applyFill="1" applyBorder="1" applyAlignment="1">
      <alignment vertical="center" wrapText="1"/>
    </xf>
    <xf numFmtId="0" fontId="110" fillId="0" borderId="50" xfId="0" applyFont="1" applyFill="1" applyBorder="1" applyAlignment="1">
      <alignment vertical="center"/>
    </xf>
    <xf numFmtId="0" fontId="110" fillId="0" borderId="50" xfId="0" applyFont="1" applyFill="1" applyBorder="1" applyAlignment="1">
      <alignment vertical="center" wrapText="1"/>
    </xf>
    <xf numFmtId="0" fontId="22" fillId="0" borderId="0" xfId="0" applyFont="1" applyFill="1" applyAlignment="1">
      <alignment vertical="center"/>
    </xf>
    <xf numFmtId="0" fontId="109" fillId="0" borderId="23" xfId="0" applyFont="1" applyFill="1" applyBorder="1" applyAlignment="1">
      <alignment vertical="top" wrapText="1"/>
    </xf>
    <xf numFmtId="0" fontId="110" fillId="0" borderId="55" xfId="0" applyFont="1" applyFill="1" applyBorder="1" applyAlignment="1">
      <alignment vertical="center"/>
    </xf>
    <xf numFmtId="0" fontId="110" fillId="0" borderId="57" xfId="69" applyFont="1" applyFill="1" applyBorder="1" applyAlignment="1">
      <alignment vertical="center" wrapText="1"/>
    </xf>
    <xf numFmtId="0" fontId="113" fillId="0" borderId="57" xfId="0" applyFont="1" applyFill="1" applyBorder="1" applyAlignment="1">
      <alignment vertical="center"/>
    </xf>
    <xf numFmtId="0" fontId="109" fillId="0" borderId="57" xfId="0" applyFont="1" applyFill="1" applyBorder="1" applyAlignment="1">
      <alignment vertical="center"/>
    </xf>
    <xf numFmtId="3" fontId="0" fillId="0" borderId="0" xfId="0" applyNumberFormat="1" applyFill="1"/>
    <xf numFmtId="0" fontId="104" fillId="0" borderId="0" xfId="0" applyFont="1" applyAlignment="1">
      <alignment horizontal="center"/>
    </xf>
    <xf numFmtId="0" fontId="0" fillId="40" borderId="0" xfId="0" applyFill="1"/>
    <xf numFmtId="0" fontId="145" fillId="0" borderId="0" xfId="0" applyFont="1" applyBorder="1"/>
    <xf numFmtId="0" fontId="21" fillId="0" borderId="17" xfId="0" applyFont="1" applyBorder="1"/>
    <xf numFmtId="1" fontId="0" fillId="0" borderId="0" xfId="0" applyNumberFormat="1" applyFill="1"/>
    <xf numFmtId="0" fontId="55" fillId="0" borderId="0" xfId="58" applyFont="1"/>
    <xf numFmtId="0" fontId="55" fillId="0" borderId="17" xfId="58" applyFont="1" applyBorder="1"/>
    <xf numFmtId="0" fontId="55" fillId="0" borderId="19" xfId="58" applyFont="1" applyBorder="1"/>
    <xf numFmtId="0" fontId="55" fillId="0" borderId="15" xfId="58" applyFont="1" applyBorder="1"/>
    <xf numFmtId="0" fontId="55" fillId="0" borderId="0" xfId="58" applyFont="1" applyBorder="1"/>
    <xf numFmtId="0" fontId="55" fillId="0" borderId="18" xfId="58" applyFont="1" applyBorder="1"/>
    <xf numFmtId="0" fontId="146" fillId="0" borderId="15" xfId="58" applyFont="1" applyBorder="1"/>
    <xf numFmtId="0" fontId="146" fillId="0" borderId="0" xfId="58" applyFont="1" applyBorder="1"/>
    <xf numFmtId="0" fontId="146" fillId="0" borderId="18" xfId="58" applyFont="1" applyBorder="1"/>
    <xf numFmtId="0" fontId="147" fillId="0" borderId="15" xfId="58" applyFont="1" applyBorder="1"/>
    <xf numFmtId="0" fontId="147" fillId="0" borderId="0" xfId="58" applyFont="1" applyBorder="1"/>
    <xf numFmtId="0" fontId="147" fillId="0" borderId="18" xfId="58" applyFont="1" applyBorder="1"/>
    <xf numFmtId="0" fontId="146" fillId="0" borderId="0" xfId="58" applyFont="1"/>
    <xf numFmtId="0" fontId="70" fillId="0" borderId="0" xfId="58" applyFont="1"/>
    <xf numFmtId="0" fontId="106" fillId="0" borderId="0" xfId="58" applyFont="1"/>
    <xf numFmtId="0" fontId="55" fillId="0" borderId="29" xfId="58" applyFont="1" applyBorder="1"/>
    <xf numFmtId="0" fontId="70" fillId="0" borderId="17" xfId="58" applyFont="1" applyBorder="1"/>
    <xf numFmtId="0" fontId="70" fillId="0" borderId="18" xfId="58" applyFont="1" applyBorder="1"/>
    <xf numFmtId="0" fontId="55" fillId="0" borderId="40" xfId="58" applyFont="1" applyBorder="1"/>
    <xf numFmtId="0" fontId="70" fillId="0" borderId="39" xfId="58" applyFont="1" applyBorder="1"/>
    <xf numFmtId="0" fontId="70" fillId="0" borderId="38" xfId="58" applyFont="1" applyBorder="1"/>
    <xf numFmtId="0" fontId="147" fillId="0" borderId="15" xfId="58" applyFont="1" applyFill="1" applyBorder="1"/>
    <xf numFmtId="0" fontId="55" fillId="43" borderId="0" xfId="58" applyFont="1" applyFill="1"/>
    <xf numFmtId="0" fontId="148" fillId="0" borderId="0" xfId="58" applyFont="1"/>
    <xf numFmtId="0" fontId="147" fillId="0" borderId="0" xfId="58" applyFont="1" applyFill="1" applyBorder="1"/>
    <xf numFmtId="0" fontId="147" fillId="0" borderId="18" xfId="58" applyFont="1" applyFill="1" applyBorder="1"/>
    <xf numFmtId="0" fontId="55" fillId="41" borderId="0" xfId="58" applyFont="1" applyFill="1"/>
    <xf numFmtId="0" fontId="146" fillId="41" borderId="0" xfId="58" applyFont="1" applyFill="1"/>
    <xf numFmtId="0" fontId="18" fillId="0" borderId="15" xfId="71" applyFont="1" applyFill="1" applyBorder="1" applyAlignment="1">
      <alignment vertical="center"/>
    </xf>
    <xf numFmtId="0" fontId="18" fillId="0" borderId="29" xfId="71" applyFont="1" applyFill="1" applyBorder="1" applyAlignment="1">
      <alignment vertical="center" wrapText="1"/>
    </xf>
    <xf numFmtId="0" fontId="149" fillId="0" borderId="18" xfId="58" applyFont="1" applyBorder="1"/>
    <xf numFmtId="0" fontId="149" fillId="0" borderId="0" xfId="58" applyFont="1" applyBorder="1"/>
    <xf numFmtId="0" fontId="149" fillId="0" borderId="15" xfId="58" applyFont="1" applyBorder="1"/>
    <xf numFmtId="0" fontId="144" fillId="0" borderId="0" xfId="58" applyFont="1" applyBorder="1"/>
    <xf numFmtId="0" fontId="142" fillId="0" borderId="0" xfId="58" applyFont="1" applyBorder="1"/>
    <xf numFmtId="0" fontId="75" fillId="0" borderId="0" xfId="58" applyFont="1" applyBorder="1"/>
    <xf numFmtId="16" fontId="147" fillId="0" borderId="0" xfId="58" applyNumberFormat="1" applyFont="1" applyBorder="1"/>
    <xf numFmtId="0" fontId="141" fillId="0" borderId="32" xfId="0" applyFont="1" applyBorder="1"/>
    <xf numFmtId="0" fontId="150" fillId="0" borderId="0" xfId="0" applyFont="1" applyBorder="1" applyAlignment="1">
      <alignment horizontal="right"/>
    </xf>
    <xf numFmtId="0" fontId="151" fillId="0" borderId="0" xfId="0" applyFont="1"/>
    <xf numFmtId="1" fontId="72" fillId="0" borderId="0" xfId="0" applyNumberFormat="1" applyFont="1" applyBorder="1"/>
    <xf numFmtId="0" fontId="20" fillId="0" borderId="0" xfId="58" applyFont="1" applyBorder="1"/>
    <xf numFmtId="2" fontId="20" fillId="0" borderId="0" xfId="58" applyNumberFormat="1" applyFont="1" applyBorder="1"/>
    <xf numFmtId="0" fontId="120" fillId="0" borderId="18" xfId="0" applyFont="1" applyBorder="1" applyAlignment="1">
      <alignment horizontal="center"/>
    </xf>
    <xf numFmtId="0" fontId="120" fillId="0" borderId="0" xfId="0" applyFont="1" applyBorder="1" applyAlignment="1">
      <alignment horizontal="center"/>
    </xf>
    <xf numFmtId="0" fontId="120" fillId="0" borderId="15" xfId="0" applyFont="1" applyBorder="1" applyAlignment="1">
      <alignment horizontal="center"/>
    </xf>
    <xf numFmtId="0" fontId="119" fillId="0" borderId="0" xfId="0" applyFont="1" applyBorder="1" applyAlignment="1"/>
    <xf numFmtId="0" fontId="119" fillId="0" borderId="15" xfId="0" applyFont="1" applyBorder="1" applyAlignment="1"/>
    <xf numFmtId="49" fontId="119" fillId="0" borderId="0" xfId="0" applyNumberFormat="1" applyFont="1" applyBorder="1" applyAlignment="1"/>
    <xf numFmtId="49" fontId="119" fillId="0" borderId="15" xfId="0" applyNumberFormat="1" applyFont="1" applyBorder="1" applyAlignment="1"/>
    <xf numFmtId="0" fontId="119" fillId="0" borderId="0" xfId="0" applyFont="1" applyBorder="1" applyAlignment="1">
      <alignment horizontal="left"/>
    </xf>
    <xf numFmtId="49" fontId="119" fillId="0" borderId="0" xfId="0" applyNumberFormat="1" applyFont="1" applyBorder="1" applyAlignment="1">
      <alignment horizontal="left"/>
    </xf>
    <xf numFmtId="4" fontId="20" fillId="0" borderId="0" xfId="0" applyNumberFormat="1" applyFont="1" applyBorder="1"/>
    <xf numFmtId="0" fontId="147" fillId="0" borderId="0" xfId="58" applyFont="1"/>
    <xf numFmtId="0" fontId="147" fillId="41" borderId="0" xfId="58" applyFont="1" applyFill="1"/>
    <xf numFmtId="16" fontId="20" fillId="0" borderId="8" xfId="0" applyNumberFormat="1" applyFont="1" applyBorder="1"/>
    <xf numFmtId="0" fontId="98" fillId="0" borderId="36" xfId="0" applyFont="1" applyBorder="1" applyAlignment="1">
      <alignment horizontal="center" vertical="center"/>
    </xf>
    <xf numFmtId="0" fontId="0" fillId="0" borderId="0" xfId="0"/>
    <xf numFmtId="0" fontId="0" fillId="0" borderId="0" xfId="0"/>
    <xf numFmtId="16" fontId="147" fillId="0" borderId="18" xfId="58" applyNumberFormat="1" applyFont="1" applyBorder="1" applyAlignment="1">
      <alignment horizontal="left"/>
    </xf>
    <xf numFmtId="0" fontId="0" fillId="0" borderId="0" xfId="0"/>
    <xf numFmtId="0" fontId="20" fillId="0" borderId="8" xfId="0" applyFont="1" applyBorder="1"/>
    <xf numFmtId="0" fontId="0" fillId="0" borderId="0" xfId="0"/>
    <xf numFmtId="17" fontId="157" fillId="0" borderId="0" xfId="0" applyNumberFormat="1" applyFont="1"/>
    <xf numFmtId="0" fontId="157" fillId="0" borderId="0" xfId="0" applyFont="1"/>
    <xf numFmtId="17" fontId="157" fillId="0" borderId="0" xfId="0" applyNumberFormat="1" applyFont="1" applyBorder="1"/>
    <xf numFmtId="0" fontId="157" fillId="0" borderId="0" xfId="0" applyFont="1" applyBorder="1"/>
    <xf numFmtId="0" fontId="157" fillId="0" borderId="32" xfId="0" applyFont="1" applyBorder="1"/>
    <xf numFmtId="17" fontId="157" fillId="0" borderId="18" xfId="0" applyNumberFormat="1" applyFont="1" applyBorder="1"/>
    <xf numFmtId="0" fontId="157" fillId="0" borderId="15" xfId="0" applyFont="1" applyBorder="1"/>
    <xf numFmtId="0" fontId="157" fillId="0" borderId="0" xfId="58" applyFont="1" applyBorder="1"/>
    <xf numFmtId="2" fontId="157" fillId="0" borderId="0" xfId="58" applyNumberFormat="1" applyFont="1" applyBorder="1"/>
    <xf numFmtId="2" fontId="157" fillId="0" borderId="18" xfId="0" applyNumberFormat="1" applyFont="1" applyBorder="1" applyAlignment="1">
      <alignment vertical="center"/>
    </xf>
    <xf numFmtId="17" fontId="157" fillId="0" borderId="0" xfId="0" applyNumberFormat="1" applyFont="1" applyFill="1"/>
    <xf numFmtId="0" fontId="157" fillId="0" borderId="18" xfId="0" applyFont="1" applyBorder="1"/>
    <xf numFmtId="2" fontId="157" fillId="0" borderId="0" xfId="0" applyNumberFormat="1" applyFont="1" applyBorder="1"/>
    <xf numFmtId="17" fontId="159" fillId="0" borderId="0" xfId="58" applyNumberFormat="1" applyFont="1"/>
    <xf numFmtId="0" fontId="157" fillId="0" borderId="18" xfId="0" applyFont="1" applyFill="1" applyBorder="1"/>
    <xf numFmtId="0" fontId="157" fillId="0" borderId="15" xfId="0" applyFont="1" applyFill="1" applyBorder="1"/>
    <xf numFmtId="0" fontId="0" fillId="0" borderId="0" xfId="0"/>
    <xf numFmtId="0" fontId="21" fillId="0" borderId="0" xfId="0" applyFont="1" applyBorder="1" applyAlignment="1">
      <alignment horizontal="left" indent="1"/>
    </xf>
    <xf numFmtId="0" fontId="20" fillId="0" borderId="0" xfId="0" applyFont="1" applyBorder="1" applyAlignment="1">
      <alignment horizontal="center"/>
    </xf>
    <xf numFmtId="0" fontId="20" fillId="0" borderId="15" xfId="0" applyFont="1" applyBorder="1"/>
    <xf numFmtId="0" fontId="113" fillId="0" borderId="41" xfId="0" applyFont="1" applyFill="1" applyBorder="1" applyAlignment="1">
      <alignment vertical="center"/>
    </xf>
    <xf numFmtId="0" fontId="109" fillId="0" borderId="41" xfId="0" applyFont="1" applyFill="1" applyBorder="1" applyAlignment="1">
      <alignment vertical="center"/>
    </xf>
    <xf numFmtId="0" fontId="18" fillId="0" borderId="45" xfId="71" applyFont="1" applyFill="1" applyBorder="1" applyAlignment="1">
      <alignment vertical="center"/>
    </xf>
    <xf numFmtId="0" fontId="0" fillId="0" borderId="15" xfId="0" applyBorder="1"/>
    <xf numFmtId="0" fontId="75" fillId="0" borderId="15" xfId="0" applyFont="1" applyBorder="1"/>
    <xf numFmtId="0" fontId="0" fillId="0" borderId="0" xfId="0"/>
    <xf numFmtId="3" fontId="22" fillId="0" borderId="0" xfId="0" applyNumberFormat="1" applyFont="1" applyAlignment="1">
      <alignment vertical="center"/>
    </xf>
    <xf numFmtId="0" fontId="0" fillId="0" borderId="0" xfId="0"/>
    <xf numFmtId="0" fontId="20" fillId="0" borderId="8" xfId="0" applyFont="1" applyFill="1" applyBorder="1"/>
    <xf numFmtId="0" fontId="0" fillId="0" borderId="8" xfId="0" applyFill="1" applyBorder="1"/>
    <xf numFmtId="2" fontId="0" fillId="0" borderId="0" xfId="0" applyNumberFormat="1"/>
    <xf numFmtId="0" fontId="22" fillId="0" borderId="14" xfId="0" applyFont="1" applyFill="1" applyBorder="1" applyAlignment="1">
      <alignment horizontal="center" vertical="center"/>
    </xf>
    <xf numFmtId="17" fontId="0" fillId="0" borderId="0" xfId="0" applyNumberFormat="1"/>
    <xf numFmtId="0" fontId="167" fillId="0" borderId="36" xfId="58" applyFont="1" applyBorder="1"/>
    <xf numFmtId="0" fontId="167" fillId="0" borderId="20" xfId="58" applyFont="1" applyBorder="1"/>
    <xf numFmtId="2" fontId="167" fillId="0" borderId="20" xfId="58" applyNumberFormat="1" applyFont="1" applyBorder="1"/>
    <xf numFmtId="0" fontId="168" fillId="0" borderId="18" xfId="58" applyFont="1" applyBorder="1"/>
    <xf numFmtId="0" fontId="168" fillId="0" borderId="0" xfId="58" applyFont="1" applyBorder="1"/>
    <xf numFmtId="0" fontId="168" fillId="0" borderId="15" xfId="58" applyFont="1" applyBorder="1"/>
    <xf numFmtId="0" fontId="110" fillId="0" borderId="51" xfId="0" applyFont="1" applyBorder="1" applyAlignment="1">
      <alignment vertical="center"/>
    </xf>
    <xf numFmtId="1" fontId="146" fillId="41" borderId="0" xfId="58" applyNumberFormat="1" applyFont="1" applyFill="1" applyBorder="1"/>
    <xf numFmtId="0" fontId="0" fillId="0" borderId="33" xfId="0" applyFill="1" applyBorder="1" applyAlignment="1">
      <alignment vertical="center"/>
    </xf>
    <xf numFmtId="0" fontId="60" fillId="0" borderId="0" xfId="0" applyFont="1" applyFill="1" applyBorder="1" applyAlignment="1">
      <alignment horizontal="center" vertical="center"/>
    </xf>
    <xf numFmtId="0" fontId="22" fillId="0" borderId="33" xfId="0" applyFont="1" applyFill="1" applyBorder="1" applyAlignment="1">
      <alignment horizontal="center" vertical="center"/>
    </xf>
    <xf numFmtId="0" fontId="113" fillId="0" borderId="28" xfId="0" applyFont="1" applyFill="1" applyBorder="1" applyAlignment="1">
      <alignment vertical="center"/>
    </xf>
    <xf numFmtId="3" fontId="62" fillId="0" borderId="20" xfId="0" applyNumberFormat="1" applyFont="1" applyFill="1" applyBorder="1" applyAlignment="1">
      <alignment horizontal="right" vertical="center"/>
    </xf>
    <xf numFmtId="3" fontId="62" fillId="0" borderId="28" xfId="0" applyNumberFormat="1" applyFont="1" applyFill="1" applyBorder="1" applyAlignment="1">
      <alignment horizontal="right" vertical="center"/>
    </xf>
    <xf numFmtId="165" fontId="62" fillId="0" borderId="20" xfId="0" applyNumberFormat="1" applyFont="1" applyFill="1" applyBorder="1" applyAlignment="1">
      <alignment horizontal="right" vertical="center"/>
    </xf>
    <xf numFmtId="1" fontId="142" fillId="40" borderId="28" xfId="0" applyNumberFormat="1" applyFont="1" applyFill="1" applyBorder="1" applyAlignment="1">
      <alignment horizontal="center" vertical="center"/>
    </xf>
    <xf numFmtId="1" fontId="142" fillId="40" borderId="20" xfId="0" applyNumberFormat="1" applyFont="1" applyFill="1" applyBorder="1" applyAlignment="1">
      <alignment horizontal="center" vertical="center"/>
    </xf>
    <xf numFmtId="3" fontId="62" fillId="0" borderId="23" xfId="0" applyNumberFormat="1" applyFont="1" applyFill="1" applyBorder="1" applyAlignment="1">
      <alignment horizontal="right" vertical="center"/>
    </xf>
    <xf numFmtId="3" fontId="62" fillId="0" borderId="0" xfId="0" applyNumberFormat="1" applyFont="1" applyFill="1" applyBorder="1" applyAlignment="1">
      <alignment horizontal="right" vertical="center"/>
    </xf>
    <xf numFmtId="3" fontId="62" fillId="0" borderId="32" xfId="0" applyNumberFormat="1" applyFont="1" applyFill="1" applyBorder="1" applyAlignment="1">
      <alignment horizontal="right" vertical="center"/>
    </xf>
    <xf numFmtId="165" fontId="62" fillId="0" borderId="23" xfId="0" applyNumberFormat="1" applyFont="1" applyFill="1" applyBorder="1" applyAlignment="1">
      <alignment horizontal="right" vertical="center"/>
    </xf>
    <xf numFmtId="1" fontId="142" fillId="40" borderId="32" xfId="0" applyNumberFormat="1" applyFont="1" applyFill="1" applyBorder="1" applyAlignment="1">
      <alignment horizontal="center" vertical="center"/>
    </xf>
    <xf numFmtId="1" fontId="142" fillId="40" borderId="23" xfId="0" applyNumberFormat="1" applyFont="1" applyFill="1" applyBorder="1" applyAlignment="1">
      <alignment horizontal="center" vertical="center"/>
    </xf>
    <xf numFmtId="3" fontId="62" fillId="0" borderId="31" xfId="0" applyNumberFormat="1" applyFont="1" applyFill="1" applyBorder="1" applyAlignment="1">
      <alignment horizontal="right" vertical="center"/>
    </xf>
    <xf numFmtId="3" fontId="58" fillId="0" borderId="50" xfId="0" applyNumberFormat="1" applyFont="1" applyFill="1" applyBorder="1" applyAlignment="1">
      <alignment horizontal="right" vertical="center" wrapText="1"/>
    </xf>
    <xf numFmtId="3" fontId="58" fillId="0" borderId="51" xfId="0" applyNumberFormat="1" applyFont="1" applyFill="1" applyBorder="1" applyAlignment="1">
      <alignment horizontal="right" vertical="center"/>
    </xf>
    <xf numFmtId="165" fontId="58" fillId="0" borderId="50" xfId="0" applyNumberFormat="1" applyFont="1" applyFill="1" applyBorder="1" applyAlignment="1">
      <alignment horizontal="right" vertical="center"/>
    </xf>
    <xf numFmtId="3" fontId="58" fillId="0" borderId="50" xfId="0" applyNumberFormat="1" applyFont="1" applyFill="1" applyBorder="1" applyAlignment="1">
      <alignment horizontal="right" vertical="center"/>
    </xf>
    <xf numFmtId="3" fontId="58" fillId="0" borderId="16" xfId="0" applyNumberFormat="1" applyFont="1" applyFill="1" applyBorder="1" applyAlignment="1">
      <alignment horizontal="right" vertical="center"/>
    </xf>
    <xf numFmtId="1" fontId="170" fillId="40" borderId="50" xfId="0" applyNumberFormat="1" applyFont="1" applyFill="1" applyBorder="1" applyAlignment="1">
      <alignment horizontal="center" vertical="center"/>
    </xf>
    <xf numFmtId="3" fontId="62" fillId="0" borderId="54" xfId="0" applyNumberFormat="1" applyFont="1" applyFill="1" applyBorder="1" applyAlignment="1">
      <alignment horizontal="right" vertical="center"/>
    </xf>
    <xf numFmtId="165" fontId="62" fillId="0" borderId="54" xfId="0" applyNumberFormat="1" applyFont="1" applyFill="1" applyBorder="1" applyAlignment="1">
      <alignment horizontal="right" vertical="center"/>
    </xf>
    <xf numFmtId="1" fontId="142" fillId="0" borderId="32" xfId="0" applyNumberFormat="1" applyFont="1" applyBorder="1" applyAlignment="1">
      <alignment horizontal="center" vertical="center"/>
    </xf>
    <xf numFmtId="1" fontId="142" fillId="0" borderId="52" xfId="0" applyNumberFormat="1" applyFont="1" applyBorder="1" applyAlignment="1">
      <alignment horizontal="center" vertical="center"/>
    </xf>
    <xf numFmtId="0" fontId="112" fillId="0" borderId="23" xfId="0" applyFont="1" applyFill="1" applyBorder="1" applyAlignment="1">
      <alignment vertical="center" wrapText="1"/>
    </xf>
    <xf numFmtId="1" fontId="171" fillId="0" borderId="50" xfId="0" applyNumberFormat="1" applyFont="1" applyBorder="1" applyAlignment="1">
      <alignment horizontal="center" vertical="center"/>
    </xf>
    <xf numFmtId="1" fontId="171" fillId="0" borderId="32" xfId="0" applyNumberFormat="1" applyFont="1" applyBorder="1" applyAlignment="1">
      <alignment horizontal="center" vertical="center"/>
    </xf>
    <xf numFmtId="1" fontId="171" fillId="0" borderId="51" xfId="0" applyNumberFormat="1" applyFont="1" applyBorder="1" applyAlignment="1">
      <alignment horizontal="center" vertical="center"/>
    </xf>
    <xf numFmtId="3" fontId="62" fillId="0" borderId="52" xfId="0" applyNumberFormat="1" applyFont="1" applyFill="1" applyBorder="1" applyAlignment="1">
      <alignment horizontal="right" vertical="center"/>
    </xf>
    <xf numFmtId="3" fontId="22" fillId="0" borderId="32" xfId="0" applyNumberFormat="1" applyFont="1" applyBorder="1" applyAlignment="1">
      <alignment horizontal="center" vertical="center"/>
    </xf>
    <xf numFmtId="1" fontId="20" fillId="0" borderId="32" xfId="0" applyNumberFormat="1" applyFont="1" applyBorder="1" applyAlignment="1">
      <alignment horizontal="center" vertical="center"/>
    </xf>
    <xf numFmtId="3" fontId="58" fillId="41" borderId="51" xfId="0" applyNumberFormat="1" applyFont="1" applyFill="1" applyBorder="1" applyAlignment="1">
      <alignment horizontal="right" vertical="center"/>
    </xf>
    <xf numFmtId="3" fontId="20" fillId="0" borderId="0" xfId="0" applyNumberFormat="1" applyFont="1" applyAlignment="1">
      <alignment vertical="center"/>
    </xf>
    <xf numFmtId="0" fontId="22" fillId="0" borderId="13" xfId="0" applyFont="1" applyFill="1" applyBorder="1" applyAlignment="1">
      <alignment horizontal="center" vertical="center"/>
    </xf>
    <xf numFmtId="0" fontId="22" fillId="0" borderId="8" xfId="0" applyFont="1" applyFill="1" applyBorder="1" applyAlignment="1">
      <alignment horizontal="center" vertical="center"/>
    </xf>
    <xf numFmtId="3" fontId="143" fillId="0" borderId="32" xfId="0" applyNumberFormat="1" applyFont="1" applyBorder="1" applyAlignment="1">
      <alignment horizontal="center" vertical="center"/>
    </xf>
    <xf numFmtId="3" fontId="58" fillId="0" borderId="51" xfId="0" applyNumberFormat="1" applyFont="1" applyFill="1" applyBorder="1" applyAlignment="1">
      <alignment horizontal="right" vertical="center" wrapText="1"/>
    </xf>
    <xf numFmtId="3" fontId="172" fillId="0" borderId="51" xfId="0" applyNumberFormat="1" applyFont="1" applyBorder="1" applyAlignment="1">
      <alignment horizontal="center" vertical="center"/>
    </xf>
    <xf numFmtId="3" fontId="172" fillId="0" borderId="50" xfId="0" applyNumberFormat="1" applyFont="1" applyBorder="1" applyAlignment="1">
      <alignment horizontal="center" vertical="center"/>
    </xf>
    <xf numFmtId="0" fontId="22" fillId="0" borderId="32" xfId="0" applyFont="1" applyBorder="1" applyAlignment="1">
      <alignment vertical="center"/>
    </xf>
    <xf numFmtId="165" fontId="58" fillId="0" borderId="23" xfId="0" applyNumberFormat="1" applyFont="1" applyFill="1" applyBorder="1" applyAlignment="1">
      <alignment horizontal="right" vertical="center"/>
    </xf>
    <xf numFmtId="3" fontId="58" fillId="0" borderId="53" xfId="0" applyNumberFormat="1" applyFont="1" applyFill="1" applyBorder="1" applyAlignment="1">
      <alignment horizontal="right" vertical="center"/>
    </xf>
    <xf numFmtId="165" fontId="58" fillId="0" borderId="55" xfId="0" applyNumberFormat="1" applyFont="1" applyFill="1" applyBorder="1" applyAlignment="1">
      <alignment horizontal="right" vertical="center"/>
    </xf>
    <xf numFmtId="3" fontId="22" fillId="0" borderId="0" xfId="0" applyNumberFormat="1" applyFont="1" applyFill="1" applyAlignment="1">
      <alignment vertical="center"/>
    </xf>
    <xf numFmtId="0" fontId="22" fillId="0" borderId="0" xfId="0" applyFont="1" applyFill="1" applyAlignment="1">
      <alignment horizontal="right" vertical="center"/>
    </xf>
    <xf numFmtId="0" fontId="22" fillId="40" borderId="0" xfId="0" applyFont="1" applyFill="1" applyAlignment="1">
      <alignment vertical="center"/>
    </xf>
    <xf numFmtId="0" fontId="132" fillId="0" borderId="0" xfId="69" applyFont="1" applyFill="1" applyBorder="1" applyAlignment="1">
      <alignment vertical="center"/>
    </xf>
    <xf numFmtId="0" fontId="125" fillId="40" borderId="0" xfId="69" applyFill="1" applyAlignment="1">
      <alignment vertical="center"/>
    </xf>
    <xf numFmtId="0" fontId="133" fillId="0" borderId="61" xfId="69" applyFont="1" applyFill="1" applyBorder="1" applyAlignment="1">
      <alignment vertical="center"/>
    </xf>
    <xf numFmtId="0" fontId="110" fillId="0" borderId="74" xfId="69" applyFont="1" applyFill="1" applyBorder="1" applyAlignment="1">
      <alignment vertical="center" wrapText="1"/>
    </xf>
    <xf numFmtId="0" fontId="86" fillId="0" borderId="15" xfId="69" applyFont="1" applyFill="1" applyBorder="1" applyAlignment="1">
      <alignment horizontal="left" vertical="center" wrapText="1"/>
    </xf>
    <xf numFmtId="0" fontId="86" fillId="0" borderId="15" xfId="71" applyFont="1" applyFill="1" applyBorder="1" applyAlignment="1">
      <alignment vertical="center"/>
    </xf>
    <xf numFmtId="0" fontId="18" fillId="0" borderId="15" xfId="71" applyFont="1" applyFill="1" applyBorder="1" applyAlignment="1">
      <alignment vertical="center" wrapText="1"/>
    </xf>
    <xf numFmtId="0" fontId="134" fillId="0" borderId="40" xfId="69" applyFont="1" applyFill="1" applyBorder="1" applyAlignment="1">
      <alignment vertical="center"/>
    </xf>
    <xf numFmtId="0" fontId="109" fillId="0" borderId="46" xfId="69" applyFont="1" applyFill="1" applyBorder="1" applyAlignment="1">
      <alignment vertical="center" wrapText="1"/>
    </xf>
    <xf numFmtId="0" fontId="18" fillId="0" borderId="29" xfId="71" applyFont="1" applyFill="1" applyBorder="1" applyAlignment="1">
      <alignment vertical="center"/>
    </xf>
    <xf numFmtId="0" fontId="18" fillId="0" borderId="29" xfId="71" applyFont="1" applyFill="1" applyBorder="1" applyAlignment="1">
      <alignment horizontal="left" vertical="center"/>
    </xf>
    <xf numFmtId="0" fontId="18" fillId="0" borderId="15" xfId="69" applyFont="1" applyFill="1" applyBorder="1" applyAlignment="1">
      <alignment horizontal="left" vertical="center" wrapText="1"/>
    </xf>
    <xf numFmtId="0" fontId="109" fillId="0" borderId="41" xfId="69" applyFont="1" applyFill="1" applyBorder="1" applyAlignment="1">
      <alignment vertical="center" wrapText="1"/>
    </xf>
    <xf numFmtId="0" fontId="62" fillId="0" borderId="57" xfId="69" applyFont="1" applyFill="1" applyBorder="1" applyAlignment="1">
      <alignment vertical="center" wrapText="1"/>
    </xf>
    <xf numFmtId="0" fontId="22" fillId="40" borderId="0" xfId="69" applyFont="1" applyFill="1" applyAlignment="1">
      <alignment vertical="center"/>
    </xf>
    <xf numFmtId="0" fontId="146" fillId="0" borderId="18" xfId="58" applyFont="1" applyFill="1" applyBorder="1"/>
    <xf numFmtId="0" fontId="146" fillId="0" borderId="0" xfId="58" applyFont="1" applyFill="1" applyBorder="1"/>
    <xf numFmtId="0" fontId="146" fillId="0" borderId="15" xfId="58" applyFont="1" applyFill="1" applyBorder="1"/>
    <xf numFmtId="16" fontId="146" fillId="0" borderId="18" xfId="58" applyNumberFormat="1" applyFont="1" applyBorder="1" applyAlignment="1">
      <alignment horizontal="left"/>
    </xf>
    <xf numFmtId="17" fontId="18" fillId="0" borderId="0" xfId="0" applyNumberFormat="1" applyFont="1"/>
    <xf numFmtId="0" fontId="0" fillId="0" borderId="0" xfId="0"/>
    <xf numFmtId="0" fontId="109" fillId="0" borderId="23" xfId="0" applyFont="1" applyBorder="1" applyAlignment="1">
      <alignment vertical="center"/>
    </xf>
    <xf numFmtId="0" fontId="20" fillId="0" borderId="0" xfId="89" applyFont="1" applyAlignment="1">
      <alignment vertical="center"/>
    </xf>
    <xf numFmtId="3" fontId="20" fillId="0" borderId="0" xfId="89" applyNumberFormat="1" applyFont="1" applyAlignment="1">
      <alignment vertical="center"/>
    </xf>
    <xf numFmtId="1" fontId="171" fillId="0" borderId="53" xfId="89" applyNumberFormat="1" applyFont="1" applyBorder="1" applyAlignment="1">
      <alignment horizontal="center" vertical="center"/>
    </xf>
    <xf numFmtId="1" fontId="171" fillId="0" borderId="51" xfId="89" applyNumberFormat="1" applyFont="1" applyBorder="1" applyAlignment="1">
      <alignment horizontal="center" vertical="center"/>
    </xf>
    <xf numFmtId="1" fontId="142" fillId="0" borderId="32" xfId="89" applyNumberFormat="1" applyFont="1" applyBorder="1" applyAlignment="1">
      <alignment horizontal="center" vertical="center"/>
    </xf>
    <xf numFmtId="1" fontId="142" fillId="0" borderId="52" xfId="89" applyNumberFormat="1" applyFont="1" applyBorder="1" applyAlignment="1">
      <alignment horizontal="center" vertical="center"/>
    </xf>
    <xf numFmtId="1" fontId="20" fillId="0" borderId="32" xfId="89" applyNumberFormat="1" applyFont="1" applyBorder="1" applyAlignment="1">
      <alignment horizontal="center" vertical="center"/>
    </xf>
    <xf numFmtId="1" fontId="142" fillId="40" borderId="23" xfId="89" applyNumberFormat="1" applyFont="1" applyFill="1" applyBorder="1" applyAlignment="1">
      <alignment horizontal="center" vertical="center"/>
    </xf>
    <xf numFmtId="3" fontId="22" fillId="0" borderId="32" xfId="89" applyNumberFormat="1" applyFont="1" applyBorder="1" applyAlignment="1">
      <alignment horizontal="center" vertical="center"/>
    </xf>
    <xf numFmtId="1" fontId="171" fillId="0" borderId="32" xfId="89" applyNumberFormat="1" applyFont="1" applyBorder="1" applyAlignment="1">
      <alignment horizontal="center" vertical="center"/>
    </xf>
    <xf numFmtId="1" fontId="171" fillId="0" borderId="50" xfId="89" applyNumberFormat="1" applyFont="1" applyBorder="1" applyAlignment="1">
      <alignment horizontal="center" vertical="center"/>
    </xf>
    <xf numFmtId="1" fontId="170" fillId="40" borderId="50" xfId="89" applyNumberFormat="1" applyFont="1" applyFill="1" applyBorder="1" applyAlignment="1">
      <alignment horizontal="center" vertical="center"/>
    </xf>
    <xf numFmtId="1" fontId="142" fillId="40" borderId="32" xfId="89" applyNumberFormat="1" applyFont="1" applyFill="1" applyBorder="1" applyAlignment="1">
      <alignment horizontal="center" vertical="center"/>
    </xf>
    <xf numFmtId="1" fontId="142" fillId="40" borderId="20" xfId="89" applyNumberFormat="1" applyFont="1" applyFill="1" applyBorder="1" applyAlignment="1">
      <alignment horizontal="center" vertical="center"/>
    </xf>
    <xf numFmtId="1" fontId="142" fillId="40" borderId="28" xfId="89" applyNumberFormat="1" applyFont="1" applyFill="1" applyBorder="1" applyAlignment="1">
      <alignment horizontal="center" vertical="center"/>
    </xf>
    <xf numFmtId="0" fontId="57" fillId="0" borderId="24" xfId="89" applyFont="1" applyBorder="1" applyAlignment="1">
      <alignment horizontal="center" vertical="center"/>
    </xf>
    <xf numFmtId="0" fontId="57" fillId="0" borderId="32" xfId="89" applyFont="1" applyBorder="1" applyAlignment="1">
      <alignment horizontal="center" vertical="center"/>
    </xf>
    <xf numFmtId="17" fontId="18" fillId="0" borderId="18" xfId="0" applyNumberFormat="1" applyFont="1" applyBorder="1" applyAlignment="1">
      <alignment horizontal="left"/>
    </xf>
    <xf numFmtId="17" fontId="22" fillId="0" borderId="0" xfId="0" applyNumberFormat="1" applyFont="1"/>
    <xf numFmtId="0" fontId="13" fillId="0" borderId="8" xfId="0" applyFont="1" applyBorder="1"/>
    <xf numFmtId="0" fontId="0" fillId="0" borderId="0" xfId="0"/>
    <xf numFmtId="2" fontId="13" fillId="0" borderId="0" xfId="0" applyNumberFormat="1" applyFont="1" applyBorder="1"/>
    <xf numFmtId="0" fontId="0" fillId="0" borderId="0" xfId="0"/>
    <xf numFmtId="17" fontId="22" fillId="0" borderId="18" xfId="0" applyNumberFormat="1" applyFont="1" applyBorder="1" applyAlignment="1"/>
    <xf numFmtId="0" fontId="154" fillId="0" borderId="8" xfId="0" applyFont="1" applyFill="1" applyBorder="1" applyAlignment="1">
      <alignment horizontal="right" vertical="center" wrapText="1"/>
    </xf>
    <xf numFmtId="0" fontId="149" fillId="41" borderId="18" xfId="58" applyFont="1" applyFill="1" applyBorder="1"/>
    <xf numFmtId="0" fontId="149" fillId="41" borderId="0" xfId="58" applyFont="1" applyFill="1" applyBorder="1"/>
    <xf numFmtId="0" fontId="149" fillId="41" borderId="15" xfId="58" applyFont="1" applyFill="1" applyBorder="1"/>
    <xf numFmtId="177" fontId="177" fillId="41" borderId="18" xfId="58" applyNumberFormat="1" applyFont="1" applyFill="1" applyBorder="1"/>
    <xf numFmtId="177" fontId="177" fillId="41" borderId="0" xfId="58" applyNumberFormat="1" applyFont="1" applyFill="1" applyBorder="1" applyAlignment="1">
      <alignment horizontal="center"/>
    </xf>
    <xf numFmtId="0" fontId="177" fillId="41" borderId="0" xfId="58" applyFont="1" applyFill="1" applyBorder="1"/>
    <xf numFmtId="0" fontId="177" fillId="41" borderId="15" xfId="58" applyFont="1" applyFill="1" applyBorder="1"/>
    <xf numFmtId="0" fontId="149" fillId="41" borderId="0" xfId="58" applyFont="1" applyFill="1" applyBorder="1" applyAlignment="1">
      <alignment horizontal="center"/>
    </xf>
    <xf numFmtId="0" fontId="149" fillId="43" borderId="0" xfId="58" applyFont="1" applyFill="1" applyBorder="1"/>
    <xf numFmtId="0" fontId="149" fillId="43" borderId="0" xfId="58" applyFont="1" applyFill="1" applyBorder="1" applyAlignment="1">
      <alignment horizontal="center"/>
    </xf>
    <xf numFmtId="0" fontId="149" fillId="43" borderId="15" xfId="58" applyFont="1" applyFill="1" applyBorder="1" applyAlignment="1">
      <alignment horizontal="center"/>
    </xf>
    <xf numFmtId="16" fontId="149" fillId="43" borderId="18" xfId="58" applyNumberFormat="1" applyFont="1" applyFill="1" applyBorder="1"/>
    <xf numFmtId="0" fontId="149" fillId="43" borderId="15" xfId="58" applyFont="1" applyFill="1" applyBorder="1"/>
    <xf numFmtId="0" fontId="149" fillId="43" borderId="18" xfId="58" applyFont="1" applyFill="1" applyBorder="1"/>
    <xf numFmtId="0" fontId="0" fillId="0" borderId="15" xfId="0" applyBorder="1"/>
    <xf numFmtId="0" fontId="0" fillId="0" borderId="0" xfId="0"/>
    <xf numFmtId="0" fontId="0" fillId="0" borderId="15" xfId="0" applyBorder="1"/>
    <xf numFmtId="2" fontId="155" fillId="0" borderId="0" xfId="0" applyNumberFormat="1" applyFont="1" applyFill="1" applyBorder="1"/>
    <xf numFmtId="0" fontId="179" fillId="0" borderId="8" xfId="0" applyFont="1" applyBorder="1" applyAlignment="1">
      <alignment vertical="center" wrapText="1"/>
    </xf>
    <xf numFmtId="39" fontId="180" fillId="45" borderId="8" xfId="0" applyNumberFormat="1" applyFont="1" applyFill="1" applyBorder="1"/>
    <xf numFmtId="0" fontId="92" fillId="0" borderId="8" xfId="0" applyFont="1" applyBorder="1" applyAlignment="1">
      <alignment horizontal="center" vertical="center"/>
    </xf>
    <xf numFmtId="165" fontId="0" fillId="0" borderId="8" xfId="0" applyNumberFormat="1" applyBorder="1" applyAlignment="1">
      <alignment horizontal="center"/>
    </xf>
    <xf numFmtId="17" fontId="13" fillId="0" borderId="0" xfId="0" applyNumberFormat="1" applyFont="1"/>
    <xf numFmtId="17" fontId="0" fillId="0" borderId="0" xfId="0" applyNumberFormat="1" applyBorder="1"/>
    <xf numFmtId="17" fontId="99" fillId="0" borderId="0" xfId="0" applyNumberFormat="1" applyFont="1"/>
    <xf numFmtId="0" fontId="13" fillId="0" borderId="0" xfId="0" applyFont="1" applyFill="1" applyAlignment="1">
      <alignment vertical="center"/>
    </xf>
    <xf numFmtId="1" fontId="171" fillId="0" borderId="53" xfId="0" applyNumberFormat="1" applyFont="1" applyFill="1" applyBorder="1" applyAlignment="1">
      <alignment horizontal="center" vertical="center"/>
    </xf>
    <xf numFmtId="2" fontId="54" fillId="0" borderId="15" xfId="72" applyNumberFormat="1" applyFont="1" applyBorder="1" applyAlignment="1">
      <alignment horizontal="right" vertical="center"/>
    </xf>
    <xf numFmtId="0" fontId="13" fillId="0" borderId="15" xfId="0" applyFont="1" applyBorder="1" applyAlignment="1">
      <alignment vertical="center"/>
    </xf>
    <xf numFmtId="0" fontId="64" fillId="0" borderId="18" xfId="72" applyFont="1" applyBorder="1" applyAlignment="1">
      <alignment horizontal="right" vertical="center"/>
    </xf>
    <xf numFmtId="0" fontId="16" fillId="0" borderId="18" xfId="72" applyFont="1" applyBorder="1" applyAlignment="1">
      <alignment vertical="center"/>
    </xf>
    <xf numFmtId="0" fontId="22" fillId="0" borderId="15" xfId="0" applyFont="1" applyBorder="1" applyAlignment="1">
      <alignment vertical="center"/>
    </xf>
    <xf numFmtId="0" fontId="22" fillId="0" borderId="18" xfId="0" applyFont="1" applyBorder="1"/>
    <xf numFmtId="2" fontId="16" fillId="0" borderId="15" xfId="72" applyNumberFormat="1" applyFont="1" applyBorder="1" applyAlignment="1">
      <alignment horizontal="right" vertical="center"/>
    </xf>
    <xf numFmtId="0" fontId="23" fillId="0" borderId="15" xfId="72" applyFont="1" applyBorder="1" applyAlignment="1">
      <alignment horizontal="right" vertical="center"/>
    </xf>
    <xf numFmtId="0" fontId="13" fillId="0" borderId="18" xfId="0" applyFont="1" applyBorder="1"/>
    <xf numFmtId="0" fontId="55" fillId="0" borderId="15" xfId="72" applyFont="1" applyBorder="1" applyAlignment="1">
      <alignment horizontal="right" vertical="center"/>
    </xf>
    <xf numFmtId="0" fontId="55" fillId="0" borderId="15" xfId="72" applyFont="1" applyBorder="1" applyAlignment="1">
      <alignment vertical="center"/>
    </xf>
    <xf numFmtId="0" fontId="13" fillId="0" borderId="15" xfId="0" applyFont="1" applyBorder="1"/>
    <xf numFmtId="0" fontId="74" fillId="0" borderId="18" xfId="0" applyFont="1" applyBorder="1"/>
    <xf numFmtId="0" fontId="13" fillId="0" borderId="15" xfId="0" applyFont="1" applyBorder="1" applyAlignment="1">
      <alignment horizontal="left"/>
    </xf>
    <xf numFmtId="0" fontId="13" fillId="0" borderId="19" xfId="0" applyFont="1" applyBorder="1"/>
    <xf numFmtId="0" fontId="21" fillId="0" borderId="17" xfId="0" applyFont="1" applyBorder="1" applyAlignment="1">
      <alignment horizontal="right"/>
    </xf>
    <xf numFmtId="0" fontId="75" fillId="0" borderId="8" xfId="0" applyFont="1" applyBorder="1"/>
    <xf numFmtId="0" fontId="75" fillId="0" borderId="8" xfId="0" applyFont="1" applyFill="1" applyBorder="1"/>
    <xf numFmtId="181" fontId="0" fillId="0" borderId="0" xfId="0" applyNumberFormat="1" applyFill="1"/>
    <xf numFmtId="0" fontId="56" fillId="0" borderId="18" xfId="72" applyFont="1" applyBorder="1" applyAlignment="1">
      <alignment horizontal="center" vertical="center"/>
    </xf>
    <xf numFmtId="0" fontId="55" fillId="0" borderId="18" xfId="72" applyFont="1" applyBorder="1" applyAlignment="1">
      <alignment horizontal="center" vertical="center"/>
    </xf>
    <xf numFmtId="0" fontId="185" fillId="0" borderId="18" xfId="72" applyFont="1" applyBorder="1" applyAlignment="1">
      <alignment horizontal="right" vertical="center"/>
    </xf>
    <xf numFmtId="2" fontId="186" fillId="0" borderId="80" xfId="0" applyNumberFormat="1" applyFont="1" applyFill="1" applyBorder="1" applyAlignment="1">
      <alignment horizontal="right" vertical="top" shrinkToFit="1"/>
    </xf>
    <xf numFmtId="2" fontId="186" fillId="0" borderId="81" xfId="0" applyNumberFormat="1" applyFont="1" applyFill="1" applyBorder="1" applyAlignment="1">
      <alignment horizontal="right" vertical="top" shrinkToFit="1"/>
    </xf>
    <xf numFmtId="0" fontId="13" fillId="0" borderId="0" xfId="91" applyFont="1" applyFill="1" applyBorder="1" applyAlignment="1"/>
    <xf numFmtId="1" fontId="13" fillId="0" borderId="0" xfId="91" applyNumberFormat="1" applyFont="1" applyFill="1" applyBorder="1" applyAlignment="1"/>
    <xf numFmtId="0" fontId="190" fillId="0" borderId="0" xfId="91" applyFont="1" applyFill="1" applyBorder="1" applyAlignment="1"/>
    <xf numFmtId="0" fontId="190" fillId="0" borderId="0" xfId="91" applyFont="1" applyFill="1" applyBorder="1" applyAlignment="1">
      <alignment horizontal="center"/>
    </xf>
    <xf numFmtId="1" fontId="13" fillId="0" borderId="0" xfId="91" applyNumberFormat="1" applyFont="1" applyFill="1" applyBorder="1" applyAlignment="1">
      <alignment horizontal="center"/>
    </xf>
    <xf numFmtId="183" fontId="68" fillId="0" borderId="0" xfId="91" applyNumberFormat="1" applyFont="1" applyFill="1" applyBorder="1" applyAlignment="1"/>
    <xf numFmtId="0" fontId="13" fillId="0" borderId="0" xfId="91" applyFont="1" applyFill="1" applyBorder="1" applyAlignment="1">
      <alignment horizontal="center"/>
    </xf>
    <xf numFmtId="0" fontId="22" fillId="0" borderId="0" xfId="91" applyFont="1" applyFill="1" applyBorder="1" applyAlignment="1"/>
    <xf numFmtId="183" fontId="63" fillId="0" borderId="0" xfId="91" applyNumberFormat="1" applyFont="1" applyFill="1" applyBorder="1" applyAlignment="1">
      <alignment horizontal="center"/>
    </xf>
    <xf numFmtId="0" fontId="191" fillId="0" borderId="0" xfId="91" applyNumberFormat="1" applyFont="1" applyFill="1" applyBorder="1" applyAlignment="1">
      <alignment horizontal="right" vertical="top"/>
    </xf>
    <xf numFmtId="0" fontId="63" fillId="0" borderId="0" xfId="91" applyFont="1" applyFill="1" applyBorder="1" applyAlignment="1"/>
    <xf numFmtId="0" fontId="0" fillId="0" borderId="0" xfId="0"/>
    <xf numFmtId="0" fontId="0" fillId="0" borderId="0" xfId="0" applyFill="1" applyBorder="1" applyAlignment="1">
      <alignment horizontal="center"/>
    </xf>
    <xf numFmtId="0" fontId="0" fillId="0" borderId="0" xfId="0" applyFill="1" applyBorder="1" applyAlignment="1"/>
    <xf numFmtId="0" fontId="54" fillId="0" borderId="0" xfId="0" applyFont="1" applyFill="1" applyBorder="1" applyAlignment="1">
      <alignment horizontal="center"/>
    </xf>
    <xf numFmtId="0" fontId="16" fillId="0" borderId="0" xfId="0" applyFont="1" applyAlignment="1">
      <alignment horizontal="center"/>
    </xf>
    <xf numFmtId="0" fontId="194" fillId="0" borderId="0" xfId="0" applyFont="1" applyAlignment="1">
      <alignment vertical="center"/>
    </xf>
    <xf numFmtId="0" fontId="23" fillId="0" borderId="0" xfId="0" applyFont="1"/>
    <xf numFmtId="183" fontId="21" fillId="0" borderId="8" xfId="0" applyNumberFormat="1" applyFont="1" applyBorder="1" applyAlignment="1">
      <alignment horizontal="center"/>
    </xf>
    <xf numFmtId="0" fontId="21" fillId="0" borderId="0" xfId="0" applyFont="1" applyFill="1" applyBorder="1" applyAlignment="1"/>
    <xf numFmtId="17" fontId="67" fillId="0" borderId="8" xfId="0" applyNumberFormat="1" applyFont="1" applyBorder="1" applyAlignment="1">
      <alignment horizontal="center"/>
    </xf>
    <xf numFmtId="180" fontId="67" fillId="0" borderId="8" xfId="0" applyNumberFormat="1" applyFont="1" applyBorder="1" applyAlignment="1">
      <alignment horizontal="center"/>
    </xf>
    <xf numFmtId="0" fontId="21" fillId="0" borderId="78" xfId="0" applyFont="1" applyBorder="1" applyAlignment="1">
      <alignment horizontal="center"/>
    </xf>
    <xf numFmtId="0" fontId="21" fillId="0" borderId="41" xfId="0" applyFont="1" applyBorder="1" applyAlignment="1"/>
    <xf numFmtId="0" fontId="21" fillId="0" borderId="46" xfId="0" applyFont="1" applyBorder="1" applyAlignment="1"/>
    <xf numFmtId="183" fontId="21" fillId="0" borderId="78" xfId="0" applyNumberFormat="1" applyFont="1" applyBorder="1" applyAlignment="1">
      <alignment horizontal="center"/>
    </xf>
    <xf numFmtId="0" fontId="21" fillId="0" borderId="78" xfId="0" applyFont="1" applyBorder="1"/>
    <xf numFmtId="0" fontId="21" fillId="0" borderId="79" xfId="0" applyFont="1" applyBorder="1" applyAlignment="1"/>
    <xf numFmtId="0" fontId="21" fillId="0" borderId="41" xfId="0" quotePrefix="1" applyFont="1" applyBorder="1" applyAlignment="1"/>
    <xf numFmtId="0" fontId="21" fillId="0" borderId="41" xfId="0" applyFont="1" applyBorder="1"/>
    <xf numFmtId="0" fontId="21" fillId="0" borderId="79" xfId="0" applyFont="1" applyBorder="1" applyAlignment="1">
      <alignment horizontal="center" wrapText="1"/>
    </xf>
    <xf numFmtId="0" fontId="21" fillId="0" borderId="45" xfId="0" applyFont="1" applyBorder="1"/>
    <xf numFmtId="0" fontId="0" fillId="0" borderId="82" xfId="0" applyBorder="1"/>
    <xf numFmtId="0" fontId="67" fillId="0" borderId="36" xfId="0" applyFont="1" applyBorder="1" applyAlignment="1">
      <alignment vertical="top"/>
    </xf>
    <xf numFmtId="0" fontId="67" fillId="0" borderId="41" xfId="0" applyFont="1" applyBorder="1"/>
    <xf numFmtId="0" fontId="67" fillId="0" borderId="46" xfId="0" applyFont="1" applyFill="1" applyBorder="1"/>
    <xf numFmtId="2" fontId="0" fillId="0" borderId="47" xfId="0" applyNumberFormat="1" applyBorder="1"/>
    <xf numFmtId="0" fontId="53" fillId="0" borderId="82" xfId="0" applyFont="1" applyBorder="1" applyAlignment="1">
      <alignment horizontal="center" vertical="top"/>
    </xf>
    <xf numFmtId="0" fontId="21" fillId="0" borderId="78" xfId="0" applyFont="1" applyBorder="1" applyAlignment="1">
      <alignment vertical="top"/>
    </xf>
    <xf numFmtId="2" fontId="21" fillId="0" borderId="78" xfId="0" applyNumberFormat="1" applyFont="1" applyBorder="1" applyAlignment="1">
      <alignment vertical="top" wrapText="1"/>
    </xf>
    <xf numFmtId="0" fontId="21" fillId="0" borderId="79" xfId="0" applyFont="1" applyBorder="1" applyAlignment="1">
      <alignment vertical="top" wrapText="1"/>
    </xf>
    <xf numFmtId="17" fontId="21" fillId="0" borderId="41" xfId="0" applyNumberFormat="1" applyFont="1" applyBorder="1" applyAlignment="1">
      <alignment horizontal="center" vertical="center"/>
    </xf>
    <xf numFmtId="17" fontId="21" fillId="0" borderId="46" xfId="0" applyNumberFormat="1" applyFont="1" applyFill="1" applyBorder="1" applyAlignment="1">
      <alignment horizontal="center" vertical="center"/>
    </xf>
    <xf numFmtId="0" fontId="0" fillId="0" borderId="8" xfId="0" applyBorder="1" applyAlignment="1">
      <alignment horizontal="center"/>
    </xf>
    <xf numFmtId="0" fontId="21" fillId="0" borderId="8" xfId="0" applyFont="1" applyBorder="1" applyAlignment="1">
      <alignment horizontal="center"/>
    </xf>
    <xf numFmtId="0" fontId="21" fillId="0" borderId="82" xfId="0" applyFont="1" applyBorder="1" applyAlignment="1">
      <alignment horizontal="center" vertical="center"/>
    </xf>
    <xf numFmtId="1" fontId="55" fillId="0" borderId="8" xfId="0" applyNumberFormat="1" applyFont="1" applyFill="1" applyBorder="1"/>
    <xf numFmtId="165" fontId="55" fillId="0" borderId="8" xfId="0" applyNumberFormat="1" applyFont="1" applyFill="1" applyBorder="1" applyAlignment="1">
      <alignment horizontal="center"/>
    </xf>
    <xf numFmtId="0" fontId="21" fillId="0" borderId="47" xfId="0" applyFont="1" applyBorder="1" applyAlignment="1">
      <alignment horizontal="center"/>
    </xf>
    <xf numFmtId="0" fontId="21" fillId="0" borderId="48" xfId="0" applyFont="1" applyBorder="1" applyAlignment="1">
      <alignment horizontal="center"/>
    </xf>
    <xf numFmtId="164" fontId="21" fillId="0" borderId="45" xfId="0" applyNumberFormat="1" applyFont="1" applyBorder="1" applyAlignment="1">
      <alignment horizontal="center"/>
    </xf>
    <xf numFmtId="164" fontId="21" fillId="0" borderId="48" xfId="0" applyNumberFormat="1" applyFont="1" applyBorder="1" applyAlignment="1">
      <alignment horizontal="center"/>
    </xf>
    <xf numFmtId="0" fontId="0" fillId="0" borderId="45" xfId="0" applyBorder="1" applyAlignment="1">
      <alignment horizontal="center"/>
    </xf>
    <xf numFmtId="0" fontId="13" fillId="0" borderId="8" xfId="0" applyFont="1" applyBorder="1" applyAlignment="1">
      <alignment horizontal="left" vertical="center"/>
    </xf>
    <xf numFmtId="2" fontId="13" fillId="0" borderId="8" xfId="0" applyNumberFormat="1" applyFont="1" applyBorder="1" applyAlignment="1">
      <alignment horizontal="left" vertical="center"/>
    </xf>
    <xf numFmtId="2" fontId="13" fillId="0" borderId="8" xfId="0" applyNumberFormat="1" applyFont="1" applyBorder="1" applyAlignment="1">
      <alignment horizontal="left" vertical="center" wrapText="1"/>
    </xf>
    <xf numFmtId="0" fontId="13" fillId="0" borderId="45" xfId="0" applyFont="1" applyBorder="1" applyAlignment="1">
      <alignment horizontal="left" vertical="center"/>
    </xf>
    <xf numFmtId="0" fontId="13" fillId="0" borderId="47" xfId="0" applyFont="1" applyBorder="1" applyAlignment="1">
      <alignment horizontal="left" vertical="center"/>
    </xf>
    <xf numFmtId="2" fontId="13" fillId="0" borderId="47" xfId="0" applyNumberFormat="1" applyFont="1" applyBorder="1" applyAlignment="1">
      <alignment horizontal="left" vertical="center"/>
    </xf>
    <xf numFmtId="2" fontId="13" fillId="0" borderId="47" xfId="0" applyNumberFormat="1" applyFont="1" applyBorder="1" applyAlignment="1">
      <alignment horizontal="left" vertical="center" wrapText="1"/>
    </xf>
    <xf numFmtId="0" fontId="13" fillId="0" borderId="48" xfId="0" applyFont="1" applyBorder="1" applyAlignment="1">
      <alignment horizontal="left" vertical="center"/>
    </xf>
    <xf numFmtId="0" fontId="55" fillId="0" borderId="8" xfId="0" applyFont="1" applyFill="1" applyBorder="1"/>
    <xf numFmtId="165" fontId="0" fillId="0" borderId="8" xfId="0" applyNumberFormat="1" applyFill="1" applyBorder="1"/>
    <xf numFmtId="0" fontId="16" fillId="0" borderId="18" xfId="0" applyFont="1" applyFill="1" applyBorder="1" applyAlignment="1">
      <alignment wrapText="1"/>
    </xf>
    <xf numFmtId="0" fontId="21" fillId="0" borderId="0" xfId="0" applyFont="1" applyAlignment="1">
      <alignment horizontal="right"/>
    </xf>
    <xf numFmtId="0" fontId="195" fillId="0" borderId="0" xfId="91" applyNumberFormat="1" applyFont="1" applyFill="1" applyBorder="1" applyAlignment="1">
      <alignment horizontal="right" vertical="top"/>
    </xf>
    <xf numFmtId="0" fontId="22" fillId="0" borderId="0" xfId="91" applyFont="1" applyBorder="1" applyAlignment="1">
      <alignment horizontal="right"/>
    </xf>
    <xf numFmtId="0" fontId="19" fillId="43" borderId="8" xfId="91" applyFont="1" applyFill="1" applyBorder="1" applyAlignment="1">
      <alignment horizontal="center" vertical="center" textRotation="90"/>
    </xf>
    <xf numFmtId="0" fontId="22" fillId="0" borderId="8" xfId="91" applyFont="1" applyBorder="1" applyAlignment="1">
      <alignment horizontal="center" vertical="center"/>
    </xf>
    <xf numFmtId="0" fontId="22" fillId="0" borderId="8" xfId="91" applyFont="1" applyFill="1" applyBorder="1" applyAlignment="1">
      <alignment horizontal="center" vertical="center"/>
    </xf>
    <xf numFmtId="1" fontId="22" fillId="0" borderId="8" xfId="91" applyNumberFormat="1" applyFont="1" applyBorder="1" applyAlignment="1">
      <alignment horizontal="center" vertical="center"/>
    </xf>
    <xf numFmtId="0" fontId="197" fillId="0" borderId="28" xfId="0" applyFont="1" applyFill="1" applyBorder="1"/>
    <xf numFmtId="1" fontId="197" fillId="0" borderId="22" xfId="0" applyNumberFormat="1" applyFont="1" applyFill="1" applyBorder="1"/>
    <xf numFmtId="2" fontId="197" fillId="0" borderId="49" xfId="0" applyNumberFormat="1" applyFont="1" applyFill="1" applyBorder="1"/>
    <xf numFmtId="0" fontId="197" fillId="0" borderId="32" xfId="0" applyFont="1" applyFill="1" applyBorder="1"/>
    <xf numFmtId="1" fontId="197" fillId="0" borderId="0" xfId="0" applyNumberFormat="1" applyFont="1" applyFill="1" applyBorder="1"/>
    <xf numFmtId="2" fontId="197" fillId="0" borderId="31" xfId="0" applyNumberFormat="1" applyFont="1" applyFill="1" applyBorder="1"/>
    <xf numFmtId="0" fontId="22" fillId="41" borderId="0" xfId="69" applyFont="1" applyFill="1" applyAlignment="1">
      <alignment vertical="center"/>
    </xf>
    <xf numFmtId="165" fontId="54" fillId="0" borderId="8" xfId="0" applyNumberFormat="1" applyFont="1" applyFill="1" applyBorder="1"/>
    <xf numFmtId="0" fontId="18" fillId="0" borderId="18" xfId="0" applyFont="1" applyFill="1" applyBorder="1" applyAlignment="1">
      <alignment horizontal="right"/>
    </xf>
    <xf numFmtId="0" fontId="57" fillId="0" borderId="8" xfId="0" applyFont="1" applyBorder="1" applyAlignment="1">
      <alignment horizontal="center" wrapText="1"/>
    </xf>
    <xf numFmtId="0" fontId="13" fillId="0" borderId="8" xfId="0" applyFont="1" applyBorder="1" applyAlignment="1">
      <alignment vertical="center"/>
    </xf>
    <xf numFmtId="0" fontId="0" fillId="0" borderId="0" xfId="0"/>
    <xf numFmtId="2" fontId="0" fillId="0" borderId="45" xfId="0" applyNumberFormat="1" applyBorder="1"/>
    <xf numFmtId="2" fontId="0" fillId="0" borderId="48" xfId="0" applyNumberFormat="1" applyBorder="1"/>
    <xf numFmtId="0" fontId="19" fillId="0" borderId="0" xfId="95" applyFont="1" applyBorder="1" applyAlignment="1">
      <alignment horizontal="center" vertical="center"/>
    </xf>
    <xf numFmtId="0" fontId="19" fillId="0" borderId="0" xfId="95" applyFont="1" applyBorder="1" applyAlignment="1">
      <alignment horizontal="left" vertical="center" indent="1"/>
    </xf>
    <xf numFmtId="2" fontId="19" fillId="0" borderId="0" xfId="95" applyNumberFormat="1" applyFont="1" applyBorder="1" applyAlignment="1">
      <alignment horizontal="right" vertical="center" indent="2"/>
    </xf>
    <xf numFmtId="2" fontId="19" fillId="0" borderId="0" xfId="95" applyNumberFormat="1" applyFont="1" applyBorder="1" applyAlignment="1">
      <alignment horizontal="right" vertical="center" indent="1"/>
    </xf>
    <xf numFmtId="0" fontId="184" fillId="0" borderId="0" xfId="95"/>
    <xf numFmtId="2" fontId="184" fillId="0" borderId="0" xfId="95" applyNumberFormat="1"/>
    <xf numFmtId="164" fontId="184" fillId="0" borderId="0" xfId="95" applyNumberFormat="1"/>
    <xf numFmtId="185" fontId="184" fillId="0" borderId="0" xfId="95" applyNumberFormat="1"/>
    <xf numFmtId="0" fontId="22" fillId="0" borderId="0" xfId="95" applyFont="1" applyAlignment="1">
      <alignment vertical="center"/>
    </xf>
    <xf numFmtId="2" fontId="22" fillId="0" borderId="0" xfId="95" applyNumberFormat="1" applyFont="1" applyAlignment="1">
      <alignment vertical="center"/>
    </xf>
    <xf numFmtId="0" fontId="184" fillId="0" borderId="0" xfId="95" applyAlignment="1">
      <alignment horizontal="center"/>
    </xf>
    <xf numFmtId="2" fontId="22" fillId="0" borderId="0" xfId="95" applyNumberFormat="1" applyFont="1" applyFill="1" applyBorder="1" applyAlignment="1">
      <alignment horizontal="right" vertical="center" indent="1"/>
    </xf>
    <xf numFmtId="2" fontId="163" fillId="0" borderId="0" xfId="95" applyNumberFormat="1" applyFont="1" applyFill="1" applyBorder="1" applyAlignment="1">
      <alignment vertical="center"/>
    </xf>
    <xf numFmtId="2" fontId="19" fillId="0" borderId="0" xfId="95" applyNumberFormat="1" applyFont="1" applyFill="1" applyBorder="1" applyAlignment="1">
      <alignment horizontal="right" vertical="center" indent="1"/>
    </xf>
    <xf numFmtId="0" fontId="184" fillId="0" borderId="0" xfId="95" applyAlignment="1">
      <alignment horizontal="right"/>
    </xf>
    <xf numFmtId="2" fontId="164" fillId="0" borderId="0" xfId="95" applyNumberFormat="1" applyFont="1"/>
    <xf numFmtId="0" fontId="165" fillId="0" borderId="0" xfId="95" applyFont="1"/>
    <xf numFmtId="0" fontId="184" fillId="40" borderId="0" xfId="95" applyFill="1"/>
    <xf numFmtId="0" fontId="184" fillId="0" borderId="0" xfId="95" applyBorder="1"/>
    <xf numFmtId="2" fontId="184" fillId="0" borderId="0" xfId="95" applyNumberFormat="1" applyBorder="1"/>
    <xf numFmtId="165" fontId="184" fillId="0" borderId="0" xfId="95" applyNumberFormat="1"/>
    <xf numFmtId="0" fontId="166" fillId="0" borderId="0" xfId="95" applyFont="1"/>
    <xf numFmtId="165" fontId="22" fillId="0" borderId="0" xfId="0" applyNumberFormat="1" applyFont="1" applyFill="1" applyAlignment="1">
      <alignment vertical="center"/>
    </xf>
    <xf numFmtId="3" fontId="22" fillId="0" borderId="44" xfId="0" applyNumberFormat="1" applyFont="1" applyBorder="1" applyAlignment="1">
      <alignment vertical="center"/>
    </xf>
    <xf numFmtId="0" fontId="0" fillId="0" borderId="0" xfId="0"/>
    <xf numFmtId="0" fontId="0" fillId="0" borderId="0" xfId="0"/>
    <xf numFmtId="0" fontId="109" fillId="0" borderId="20" xfId="0" applyFont="1" applyFill="1" applyBorder="1" applyAlignment="1">
      <alignment horizontal="center" vertical="center"/>
    </xf>
    <xf numFmtId="0" fontId="19" fillId="0" borderId="18" xfId="91" applyFont="1" applyBorder="1" applyAlignment="1">
      <alignment horizontal="right"/>
    </xf>
    <xf numFmtId="0" fontId="19" fillId="0" borderId="0" xfId="91" applyFont="1" applyBorder="1" applyAlignment="1">
      <alignment horizontal="right"/>
    </xf>
    <xf numFmtId="183" fontId="19" fillId="0" borderId="0" xfId="91" applyNumberFormat="1" applyFont="1" applyBorder="1" applyAlignment="1">
      <alignment horizontal="left"/>
    </xf>
    <xf numFmtId="0" fontId="22" fillId="0" borderId="0" xfId="91" applyFont="1" applyBorder="1" applyAlignment="1">
      <alignment horizontal="left"/>
    </xf>
    <xf numFmtId="0" fontId="22" fillId="0" borderId="0" xfId="91" applyFont="1" applyBorder="1"/>
    <xf numFmtId="0" fontId="195" fillId="0" borderId="15" xfId="91" applyNumberFormat="1" applyFont="1" applyFill="1" applyBorder="1" applyAlignment="1">
      <alignment horizontal="right" vertical="top"/>
    </xf>
    <xf numFmtId="0" fontId="22" fillId="0" borderId="18" xfId="91" applyFont="1" applyBorder="1"/>
    <xf numFmtId="0" fontId="193" fillId="0" borderId="0" xfId="91" applyFont="1" applyBorder="1"/>
    <xf numFmtId="0" fontId="19" fillId="0" borderId="18" xfId="91" applyFont="1" applyBorder="1"/>
    <xf numFmtId="0" fontId="19" fillId="0" borderId="0" xfId="91" applyFont="1" applyBorder="1"/>
    <xf numFmtId="0" fontId="22" fillId="0" borderId="15" xfId="91" applyFont="1" applyBorder="1"/>
    <xf numFmtId="0" fontId="22" fillId="0" borderId="15" xfId="0" applyFont="1" applyBorder="1"/>
    <xf numFmtId="0" fontId="22" fillId="0" borderId="19" xfId="0" applyFont="1" applyBorder="1"/>
    <xf numFmtId="0" fontId="22" fillId="0" borderId="17" xfId="0" applyFont="1" applyBorder="1"/>
    <xf numFmtId="0" fontId="22" fillId="0" borderId="29" xfId="0" applyFont="1" applyBorder="1"/>
    <xf numFmtId="0" fontId="67" fillId="0" borderId="8" xfId="0" applyFont="1" applyBorder="1" applyAlignment="1">
      <alignment wrapText="1"/>
    </xf>
    <xf numFmtId="0" fontId="13" fillId="0" borderId="8" xfId="0" applyFont="1" applyFill="1" applyBorder="1"/>
    <xf numFmtId="164" fontId="21" fillId="0" borderId="45" xfId="0" applyNumberFormat="1" applyFont="1" applyBorder="1"/>
    <xf numFmtId="0" fontId="67" fillId="0" borderId="41" xfId="0" applyFont="1" applyBorder="1" applyAlignment="1">
      <alignment wrapText="1"/>
    </xf>
    <xf numFmtId="0" fontId="0" fillId="0" borderId="0" xfId="0"/>
    <xf numFmtId="3" fontId="22" fillId="0" borderId="0" xfId="0" applyNumberFormat="1" applyFont="1" applyBorder="1"/>
    <xf numFmtId="2" fontId="13" fillId="0" borderId="8" xfId="122" applyNumberFormat="1" applyFont="1" applyBorder="1" applyAlignment="1">
      <alignment horizontal="right"/>
    </xf>
    <xf numFmtId="2" fontId="21" fillId="0" borderId="47" xfId="0" applyNumberFormat="1" applyFont="1" applyBorder="1"/>
    <xf numFmtId="2" fontId="21" fillId="0" borderId="48" xfId="0" applyNumberFormat="1" applyFont="1" applyBorder="1"/>
    <xf numFmtId="0" fontId="0" fillId="0" borderId="0" xfId="0" applyBorder="1" applyProtection="1">
      <protection locked="0"/>
    </xf>
    <xf numFmtId="17" fontId="0" fillId="0" borderId="8" xfId="0" applyNumberFormat="1" applyBorder="1" applyProtection="1">
      <protection locked="0"/>
    </xf>
    <xf numFmtId="17" fontId="0" fillId="40" borderId="8" xfId="0" applyNumberFormat="1" applyFill="1" applyBorder="1" applyProtection="1">
      <protection locked="0"/>
    </xf>
    <xf numFmtId="0" fontId="0" fillId="0" borderId="8" xfId="0" applyBorder="1" applyProtection="1">
      <protection locked="0"/>
    </xf>
    <xf numFmtId="0" fontId="13" fillId="0" borderId="8" xfId="0" applyFont="1" applyBorder="1" applyProtection="1">
      <protection locked="0"/>
    </xf>
    <xf numFmtId="179" fontId="0" fillId="0" borderId="0" xfId="0" applyNumberFormat="1" applyBorder="1" applyProtection="1">
      <protection locked="0"/>
    </xf>
    <xf numFmtId="180" fontId="0" fillId="0" borderId="0" xfId="0" applyNumberFormat="1" applyBorder="1" applyProtection="1">
      <protection locked="0"/>
    </xf>
    <xf numFmtId="0" fontId="0" fillId="0" borderId="0" xfId="0"/>
    <xf numFmtId="0" fontId="175" fillId="0" borderId="8" xfId="0" applyFont="1" applyBorder="1" applyAlignment="1">
      <alignment horizontal="center" wrapText="1"/>
    </xf>
    <xf numFmtId="0" fontId="176" fillId="0" borderId="8" xfId="0" applyFont="1" applyBorder="1"/>
    <xf numFmtId="0" fontId="175" fillId="0" borderId="8" xfId="0" applyFont="1" applyBorder="1"/>
    <xf numFmtId="164" fontId="155" fillId="0" borderId="8" xfId="0" applyNumberFormat="1" applyFont="1" applyBorder="1" applyAlignment="1">
      <alignment horizontal="center"/>
    </xf>
    <xf numFmtId="2" fontId="155" fillId="0" borderId="8" xfId="0" applyNumberFormat="1" applyFont="1" applyBorder="1" applyAlignment="1">
      <alignment horizontal="center"/>
    </xf>
    <xf numFmtId="2" fontId="155" fillId="0" borderId="45" xfId="0" applyNumberFormat="1" applyFont="1" applyBorder="1" applyAlignment="1">
      <alignment horizontal="center"/>
    </xf>
    <xf numFmtId="0" fontId="22" fillId="0" borderId="0" xfId="0" applyFont="1" applyBorder="1" applyAlignment="1">
      <alignment horizontal="center" vertical="center"/>
    </xf>
    <xf numFmtId="0" fontId="22" fillId="0" borderId="0" xfId="91" applyFont="1"/>
    <xf numFmtId="0" fontId="13" fillId="0" borderId="0" xfId="91"/>
    <xf numFmtId="186" fontId="202" fillId="0" borderId="0" xfId="91" applyNumberFormat="1" applyFont="1"/>
    <xf numFmtId="0" fontId="13" fillId="0" borderId="0" xfId="91" applyFont="1" applyAlignment="1">
      <alignment wrapText="1"/>
    </xf>
    <xf numFmtId="0" fontId="22" fillId="0" borderId="0" xfId="91" applyFont="1" applyAlignment="1">
      <alignment vertical="top" wrapText="1"/>
    </xf>
    <xf numFmtId="0" fontId="13" fillId="0" borderId="0" xfId="91" applyFont="1"/>
    <xf numFmtId="4" fontId="13" fillId="0" borderId="0" xfId="91" applyNumberFormat="1"/>
    <xf numFmtId="2" fontId="13" fillId="0" borderId="0" xfId="91" applyNumberFormat="1"/>
    <xf numFmtId="0" fontId="110" fillId="0" borderId="0" xfId="91" applyFont="1" applyAlignment="1">
      <alignment horizontal="left" vertical="center" indent="3"/>
    </xf>
    <xf numFmtId="0" fontId="22" fillId="0" borderId="0" xfId="91" applyFont="1" applyAlignment="1">
      <alignment horizontal="right"/>
    </xf>
    <xf numFmtId="0" fontId="21" fillId="0" borderId="0" xfId="91" applyFont="1" applyAlignment="1">
      <alignment horizontal="right"/>
    </xf>
    <xf numFmtId="184" fontId="13" fillId="0" borderId="0" xfId="91" applyNumberFormat="1"/>
    <xf numFmtId="0" fontId="200" fillId="0" borderId="0" xfId="91" applyFont="1"/>
    <xf numFmtId="0" fontId="199" fillId="0" borderId="8" xfId="91" applyFont="1" applyBorder="1" applyAlignment="1">
      <alignment horizontal="justify" vertical="center"/>
    </xf>
    <xf numFmtId="180" fontId="199" fillId="0" borderId="8" xfId="91" applyNumberFormat="1" applyFont="1" applyBorder="1" applyAlignment="1">
      <alignment horizontal="justify" vertical="center"/>
    </xf>
    <xf numFmtId="182" fontId="199" fillId="0" borderId="8" xfId="91" applyNumberFormat="1" applyFont="1" applyBorder="1" applyAlignment="1">
      <alignment horizontal="justify" vertical="center"/>
    </xf>
    <xf numFmtId="1" fontId="199" fillId="0" borderId="8" xfId="91" applyNumberFormat="1" applyFont="1" applyBorder="1" applyAlignment="1">
      <alignment horizontal="center" vertical="center"/>
    </xf>
    <xf numFmtId="0" fontId="199" fillId="0" borderId="0" xfId="91" applyFont="1" applyBorder="1" applyAlignment="1">
      <alignment horizontal="center" vertical="center"/>
    </xf>
    <xf numFmtId="1" fontId="199" fillId="0" borderId="0" xfId="91" applyNumberFormat="1" applyFont="1" applyBorder="1" applyAlignment="1">
      <alignment horizontal="center" vertical="center"/>
    </xf>
    <xf numFmtId="1" fontId="199" fillId="0" borderId="8" xfId="91" applyNumberFormat="1" applyFont="1" applyBorder="1" applyAlignment="1">
      <alignment horizontal="justify" vertical="center"/>
    </xf>
    <xf numFmtId="0" fontId="199" fillId="0" borderId="0" xfId="91" applyFont="1" applyBorder="1" applyAlignment="1">
      <alignment horizontal="justify" vertical="center"/>
    </xf>
    <xf numFmtId="0" fontId="199" fillId="0" borderId="8" xfId="91" applyFont="1" applyBorder="1" applyAlignment="1">
      <alignment horizontal="center" vertical="center" wrapText="1"/>
    </xf>
    <xf numFmtId="4" fontId="199" fillId="0" borderId="8" xfId="91" applyNumberFormat="1" applyFont="1" applyBorder="1" applyAlignment="1">
      <alignment horizontal="center" vertical="center"/>
    </xf>
    <xf numFmtId="2" fontId="199" fillId="0" borderId="8" xfId="91" applyNumberFormat="1" applyFont="1" applyBorder="1" applyAlignment="1">
      <alignment horizontal="center" vertical="center"/>
    </xf>
    <xf numFmtId="0" fontId="199" fillId="40" borderId="8" xfId="91" applyFont="1" applyFill="1" applyBorder="1" applyAlignment="1">
      <alignment horizontal="center" vertical="center"/>
    </xf>
    <xf numFmtId="2" fontId="200" fillId="0" borderId="8" xfId="91" applyNumberFormat="1" applyFont="1" applyBorder="1" applyAlignment="1">
      <alignment horizontal="center" vertical="center"/>
    </xf>
    <xf numFmtId="4" fontId="199" fillId="40" borderId="8" xfId="91" applyNumberFormat="1" applyFont="1" applyFill="1" applyBorder="1" applyAlignment="1">
      <alignment horizontal="center" vertical="center"/>
    </xf>
    <xf numFmtId="0" fontId="199" fillId="0" borderId="8" xfId="91" applyFont="1" applyBorder="1" applyAlignment="1">
      <alignment vertical="center" wrapText="1"/>
    </xf>
    <xf numFmtId="165" fontId="199" fillId="0" borderId="8" xfId="91" applyNumberFormat="1" applyFont="1" applyBorder="1" applyAlignment="1">
      <alignment horizontal="center" vertical="center"/>
    </xf>
    <xf numFmtId="0" fontId="200" fillId="0" borderId="8" xfId="91" applyFont="1" applyBorder="1"/>
    <xf numFmtId="0" fontId="13" fillId="0" borderId="8" xfId="91" applyBorder="1"/>
    <xf numFmtId="2" fontId="199" fillId="0" borderId="8" xfId="91" applyNumberFormat="1" applyFont="1" applyBorder="1" applyAlignment="1">
      <alignment horizontal="center" vertical="center" wrapText="1"/>
    </xf>
    <xf numFmtId="180" fontId="199" fillId="0" borderId="8" xfId="91" applyNumberFormat="1" applyFont="1" applyBorder="1" applyAlignment="1">
      <alignment horizontal="center" vertical="center"/>
    </xf>
    <xf numFmtId="0" fontId="199" fillId="0" borderId="8" xfId="91" applyFont="1" applyBorder="1" applyAlignment="1">
      <alignment horizontal="center" vertical="center"/>
    </xf>
    <xf numFmtId="164" fontId="13" fillId="0" borderId="0" xfId="91" applyNumberFormat="1"/>
    <xf numFmtId="0" fontId="0" fillId="0" borderId="0" xfId="0"/>
    <xf numFmtId="0" fontId="0" fillId="0" borderId="0" xfId="0"/>
    <xf numFmtId="0" fontId="194" fillId="0" borderId="0" xfId="0" applyFont="1" applyAlignment="1">
      <alignment horizontal="left" vertical="center" indent="2"/>
    </xf>
    <xf numFmtId="0" fontId="56" fillId="0" borderId="0" xfId="0" applyFont="1" applyAlignment="1">
      <alignment vertical="center"/>
    </xf>
    <xf numFmtId="0" fontId="16" fillId="0" borderId="0" xfId="0" applyFont="1" applyAlignment="1">
      <alignment horizontal="left" vertical="center" indent="6"/>
    </xf>
    <xf numFmtId="0" fontId="16" fillId="0" borderId="0" xfId="0" applyFont="1" applyAlignment="1">
      <alignment horizontal="left" vertical="center" indent="4"/>
    </xf>
    <xf numFmtId="0" fontId="90" fillId="0" borderId="0" xfId="0" applyFont="1" applyAlignment="1">
      <alignment horizontal="left" vertical="center" indent="5"/>
    </xf>
    <xf numFmtId="0" fontId="54" fillId="0" borderId="0" xfId="0" applyFont="1" applyAlignment="1">
      <alignment vertical="center"/>
    </xf>
    <xf numFmtId="0" fontId="55" fillId="0" borderId="0" xfId="0" applyFont="1" applyAlignment="1">
      <alignment horizontal="left" vertical="center" indent="2"/>
    </xf>
    <xf numFmtId="0" fontId="22" fillId="0" borderId="0" xfId="0" applyFont="1" applyAlignment="1">
      <alignment horizontal="left" vertical="center" indent="2"/>
    </xf>
    <xf numFmtId="0" fontId="23" fillId="0" borderId="0" xfId="0" applyFont="1" applyAlignment="1">
      <alignment horizontal="left" vertical="center" indent="2"/>
    </xf>
    <xf numFmtId="0" fontId="56" fillId="0" borderId="0" xfId="0" applyFont="1" applyAlignment="1">
      <alignment horizontal="left" vertical="center" indent="2"/>
    </xf>
    <xf numFmtId="0" fontId="16" fillId="0" borderId="0" xfId="0" applyFont="1" applyAlignment="1">
      <alignment horizontal="left" vertical="center" indent="2"/>
    </xf>
    <xf numFmtId="0" fontId="209" fillId="0" borderId="0" xfId="0" applyFont="1" applyAlignment="1">
      <alignment horizontal="left" vertical="center"/>
    </xf>
    <xf numFmtId="0" fontId="16" fillId="0" borderId="0" xfId="0" applyFont="1" applyAlignment="1">
      <alignment horizontal="left" vertical="center"/>
    </xf>
    <xf numFmtId="2" fontId="21" fillId="0" borderId="0" xfId="72" applyNumberFormat="1" applyFont="1" applyBorder="1" applyAlignment="1">
      <alignment horizontal="right" vertical="center"/>
    </xf>
    <xf numFmtId="2" fontId="13" fillId="0" borderId="0" xfId="72" applyNumberFormat="1" applyFont="1" applyBorder="1" applyAlignment="1">
      <alignment horizontal="left" vertical="center"/>
    </xf>
    <xf numFmtId="0" fontId="21" fillId="0" borderId="8" xfId="0" applyFont="1" applyBorder="1" applyAlignment="1">
      <alignment wrapText="1"/>
    </xf>
    <xf numFmtId="180" fontId="54" fillId="0" borderId="8" xfId="0" applyNumberFormat="1" applyFont="1" applyBorder="1" applyAlignment="1">
      <alignment horizontal="center" vertical="center" wrapText="1"/>
    </xf>
    <xf numFmtId="0" fontId="54" fillId="0" borderId="8" xfId="0" applyFont="1" applyBorder="1" applyAlignment="1">
      <alignment horizontal="center" vertical="center" wrapText="1"/>
    </xf>
    <xf numFmtId="0" fontId="23" fillId="0" borderId="8" xfId="0" applyFont="1" applyBorder="1" applyAlignment="1">
      <alignment vertical="center" wrapText="1"/>
    </xf>
    <xf numFmtId="2" fontId="23" fillId="0" borderId="8" xfId="0" applyNumberFormat="1" applyFont="1" applyBorder="1" applyAlignment="1">
      <alignment horizontal="center" vertical="center" wrapText="1"/>
    </xf>
    <xf numFmtId="0" fontId="23" fillId="0" borderId="8" xfId="0" applyFont="1" applyBorder="1" applyAlignment="1">
      <alignment horizontal="center" vertical="center" wrapText="1"/>
    </xf>
    <xf numFmtId="0" fontId="16" fillId="0" borderId="8" xfId="0" applyFont="1" applyBorder="1" applyAlignment="1">
      <alignment vertical="center" wrapText="1"/>
    </xf>
    <xf numFmtId="2" fontId="16" fillId="0" borderId="8" xfId="0" applyNumberFormat="1" applyFont="1" applyBorder="1" applyAlignment="1">
      <alignment horizontal="center" vertical="center" wrapText="1"/>
    </xf>
    <xf numFmtId="0" fontId="67" fillId="0" borderId="8" xfId="0" applyFont="1" applyBorder="1" applyAlignment="1">
      <alignment horizontal="center"/>
    </xf>
    <xf numFmtId="0" fontId="0" fillId="0" borderId="0" xfId="0" applyFill="1" applyBorder="1" applyAlignment="1">
      <alignment horizontal="left" vertical="top"/>
    </xf>
    <xf numFmtId="2" fontId="186" fillId="0" borderId="101" xfId="0" applyNumberFormat="1" applyFont="1" applyFill="1" applyBorder="1" applyAlignment="1">
      <alignment horizontal="right" vertical="top" shrinkToFit="1"/>
    </xf>
    <xf numFmtId="0" fontId="0" fillId="0" borderId="81" xfId="0" applyFill="1" applyBorder="1" applyAlignment="1">
      <alignment horizontal="left" wrapText="1"/>
    </xf>
    <xf numFmtId="0" fontId="0" fillId="0" borderId="101" xfId="0" applyFill="1" applyBorder="1" applyAlignment="1">
      <alignment horizontal="left" wrapText="1"/>
    </xf>
    <xf numFmtId="2" fontId="205" fillId="0" borderId="81" xfId="0" applyNumberFormat="1" applyFont="1" applyFill="1" applyBorder="1" applyAlignment="1">
      <alignment horizontal="right" vertical="top" shrinkToFit="1"/>
    </xf>
    <xf numFmtId="165" fontId="205" fillId="0" borderId="81" xfId="0" applyNumberFormat="1" applyFont="1" applyFill="1" applyBorder="1" applyAlignment="1">
      <alignment horizontal="right" vertical="top" shrinkToFit="1"/>
    </xf>
    <xf numFmtId="2" fontId="205" fillId="0" borderId="101" xfId="0" applyNumberFormat="1" applyFont="1" applyFill="1" applyBorder="1" applyAlignment="1">
      <alignment horizontal="right" vertical="top" shrinkToFit="1"/>
    </xf>
    <xf numFmtId="187" fontId="205" fillId="0" borderId="81" xfId="0" applyNumberFormat="1" applyFont="1" applyFill="1" applyBorder="1" applyAlignment="1">
      <alignment horizontal="right" vertical="top" shrinkToFit="1"/>
    </xf>
    <xf numFmtId="0" fontId="0" fillId="0" borderId="80" xfId="0" applyFill="1" applyBorder="1" applyAlignment="1">
      <alignment horizontal="left" wrapText="1"/>
    </xf>
    <xf numFmtId="0" fontId="0" fillId="0" borderId="103" xfId="0" applyFill="1" applyBorder="1" applyAlignment="1">
      <alignment horizontal="left" wrapText="1"/>
    </xf>
    <xf numFmtId="0" fontId="0" fillId="0" borderId="100" xfId="0" applyFill="1" applyBorder="1" applyAlignment="1">
      <alignment horizontal="left" wrapText="1"/>
    </xf>
    <xf numFmtId="0" fontId="0" fillId="0" borderId="81" xfId="0" applyFill="1" applyBorder="1" applyAlignment="1">
      <alignment horizontal="left" vertical="center" wrapText="1"/>
    </xf>
    <xf numFmtId="0" fontId="0" fillId="0" borderId="101" xfId="0" applyFill="1" applyBorder="1" applyAlignment="1">
      <alignment horizontal="left" vertical="center" wrapText="1"/>
    </xf>
    <xf numFmtId="0" fontId="73" fillId="0" borderId="93" xfId="0" applyFont="1" applyFill="1" applyBorder="1" applyAlignment="1">
      <alignment horizontal="left" vertical="center" wrapText="1" indent="1"/>
    </xf>
    <xf numFmtId="0" fontId="21" fillId="0" borderId="93" xfId="0" applyFont="1" applyFill="1" applyBorder="1" applyAlignment="1">
      <alignment horizontal="center" vertical="top" wrapText="1"/>
    </xf>
    <xf numFmtId="0" fontId="73" fillId="0" borderId="93" xfId="0" applyFont="1" applyFill="1" applyBorder="1" applyAlignment="1">
      <alignment horizontal="left" vertical="top" wrapText="1" indent="1"/>
    </xf>
    <xf numFmtId="0" fontId="73" fillId="0" borderId="93" xfId="0" applyFont="1" applyFill="1" applyBorder="1" applyAlignment="1">
      <alignment horizontal="center" vertical="top" wrapText="1"/>
    </xf>
    <xf numFmtId="0" fontId="73" fillId="0" borderId="93" xfId="0" applyFont="1" applyFill="1" applyBorder="1" applyAlignment="1">
      <alignment horizontal="right" vertical="center" wrapText="1"/>
    </xf>
    <xf numFmtId="1" fontId="210" fillId="0" borderId="93" xfId="0" applyNumberFormat="1" applyFont="1" applyFill="1" applyBorder="1" applyAlignment="1">
      <alignment horizontal="center" vertical="top" shrinkToFit="1"/>
    </xf>
    <xf numFmtId="2" fontId="199" fillId="40" borderId="8" xfId="91" applyNumberFormat="1" applyFont="1" applyFill="1" applyBorder="1" applyAlignment="1">
      <alignment horizontal="center" vertical="center"/>
    </xf>
    <xf numFmtId="1" fontId="0" fillId="0" borderId="0" xfId="0" applyNumberFormat="1"/>
    <xf numFmtId="0" fontId="0" fillId="0" borderId="0" xfId="0"/>
    <xf numFmtId="0" fontId="0" fillId="0" borderId="0" xfId="0"/>
    <xf numFmtId="0" fontId="13" fillId="0" borderId="8" xfId="0" applyFont="1" applyBorder="1" applyAlignment="1">
      <alignment horizontal="center"/>
    </xf>
    <xf numFmtId="0" fontId="211" fillId="0" borderId="100" xfId="0" applyFont="1" applyFill="1" applyBorder="1" applyAlignment="1">
      <alignment horizontal="left" vertical="top" wrapText="1" indent="1"/>
    </xf>
    <xf numFmtId="0" fontId="212" fillId="0" borderId="100" xfId="0" applyFont="1" applyFill="1" applyBorder="1" applyAlignment="1">
      <alignment horizontal="left" vertical="top" wrapText="1"/>
    </xf>
    <xf numFmtId="0" fontId="211" fillId="0" borderId="102" xfId="0" applyFont="1" applyFill="1" applyBorder="1" applyAlignment="1">
      <alignment horizontal="left" vertical="top" wrapText="1" indent="1"/>
    </xf>
    <xf numFmtId="0" fontId="214" fillId="0" borderId="93" xfId="0" applyFont="1" applyFill="1" applyBorder="1" applyAlignment="1">
      <alignment horizontal="right" vertical="center" wrapText="1"/>
    </xf>
    <xf numFmtId="0" fontId="214" fillId="0" borderId="93" xfId="0" applyFont="1" applyFill="1" applyBorder="1" applyAlignment="1">
      <alignment horizontal="left" vertical="center" wrapText="1" indent="1"/>
    </xf>
    <xf numFmtId="164" fontId="200" fillId="0" borderId="8" xfId="91" applyNumberFormat="1" applyFont="1" applyBorder="1" applyAlignment="1">
      <alignment horizontal="center" vertical="center"/>
    </xf>
    <xf numFmtId="0" fontId="0" fillId="0" borderId="0" xfId="0"/>
    <xf numFmtId="164" fontId="0" fillId="0" borderId="0" xfId="0" applyNumberFormat="1"/>
    <xf numFmtId="0" fontId="18" fillId="0" borderId="59" xfId="71" applyFont="1" applyFill="1" applyBorder="1" applyAlignment="1">
      <alignment vertical="center"/>
    </xf>
    <xf numFmtId="0" fontId="18" fillId="0" borderId="45" xfId="71" applyFont="1" applyFill="1" applyBorder="1" applyAlignment="1">
      <alignment vertical="center" wrapText="1"/>
    </xf>
    <xf numFmtId="0" fontId="18" fillId="0" borderId="48" xfId="71" applyFont="1" applyFill="1" applyBorder="1" applyAlignment="1">
      <alignment vertical="center"/>
    </xf>
    <xf numFmtId="1" fontId="21" fillId="0" borderId="0" xfId="0" applyNumberFormat="1" applyFont="1" applyAlignment="1">
      <alignment vertical="center"/>
    </xf>
    <xf numFmtId="0" fontId="19" fillId="41" borderId="0" xfId="69" applyFont="1" applyFill="1" applyAlignment="1">
      <alignment vertical="center"/>
    </xf>
    <xf numFmtId="0" fontId="0" fillId="0" borderId="8" xfId="0" applyFill="1" applyBorder="1" applyAlignment="1"/>
    <xf numFmtId="0" fontId="54" fillId="0" borderId="8" xfId="0" applyFont="1" applyFill="1" applyBorder="1" applyAlignment="1">
      <alignment horizontal="center"/>
    </xf>
    <xf numFmtId="4" fontId="21" fillId="0" borderId="8" xfId="0" applyNumberFormat="1" applyFont="1" applyFill="1" applyBorder="1"/>
    <xf numFmtId="0" fontId="179" fillId="51" borderId="122" xfId="0" applyFont="1" applyFill="1" applyBorder="1"/>
    <xf numFmtId="2" fontId="179" fillId="51" borderId="119" xfId="0" applyNumberFormat="1" applyFont="1" applyFill="1" applyBorder="1"/>
    <xf numFmtId="2" fontId="179" fillId="51" borderId="123" xfId="0" applyNumberFormat="1" applyFont="1" applyFill="1" applyBorder="1"/>
    <xf numFmtId="0" fontId="179" fillId="52" borderId="124" xfId="0" applyFont="1" applyFill="1" applyBorder="1"/>
    <xf numFmtId="2" fontId="179" fillId="52" borderId="125" xfId="0" applyNumberFormat="1" applyFont="1" applyFill="1" applyBorder="1"/>
    <xf numFmtId="2" fontId="179" fillId="52" borderId="123" xfId="0" applyNumberFormat="1" applyFont="1" applyFill="1" applyBorder="1"/>
    <xf numFmtId="0" fontId="179" fillId="51" borderId="124" xfId="0" applyFont="1" applyFill="1" applyBorder="1"/>
    <xf numFmtId="2" fontId="179" fillId="51" borderId="125" xfId="0" applyNumberFormat="1" applyFont="1" applyFill="1" applyBorder="1"/>
    <xf numFmtId="0" fontId="222" fillId="52" borderId="124" xfId="0" applyFont="1" applyFill="1" applyBorder="1"/>
    <xf numFmtId="2" fontId="222" fillId="52" borderId="125" xfId="0" applyNumberFormat="1" applyFont="1" applyFill="1" applyBorder="1"/>
    <xf numFmtId="2" fontId="222" fillId="52" borderId="123" xfId="0" applyNumberFormat="1" applyFont="1" applyFill="1" applyBorder="1"/>
    <xf numFmtId="0" fontId="222" fillId="52" borderId="128" xfId="0" applyFont="1" applyFill="1" applyBorder="1"/>
    <xf numFmtId="2" fontId="222" fillId="52" borderId="129" xfId="0" applyNumberFormat="1" applyFont="1" applyFill="1" applyBorder="1"/>
    <xf numFmtId="2" fontId="222" fillId="52" borderId="130" xfId="0" applyNumberFormat="1" applyFont="1" applyFill="1" applyBorder="1"/>
    <xf numFmtId="0" fontId="53" fillId="0" borderId="62" xfId="0" applyFont="1" applyBorder="1" applyAlignment="1">
      <alignment horizontal="left"/>
    </xf>
    <xf numFmtId="0" fontId="19" fillId="0" borderId="62" xfId="0" applyFont="1" applyBorder="1" applyAlignment="1">
      <alignment horizontal="left"/>
    </xf>
    <xf numFmtId="2" fontId="19" fillId="0" borderId="62" xfId="0" applyNumberFormat="1" applyFont="1" applyBorder="1" applyAlignment="1">
      <alignment horizontal="right"/>
    </xf>
    <xf numFmtId="164" fontId="19" fillId="0" borderId="62" xfId="0" applyNumberFormat="1" applyFont="1" applyBorder="1" applyAlignment="1">
      <alignment horizontal="right"/>
    </xf>
    <xf numFmtId="2" fontId="19" fillId="53" borderId="132" xfId="0" applyNumberFormat="1" applyFont="1" applyFill="1" applyBorder="1" applyAlignment="1">
      <alignment horizontal="right" vertical="center"/>
    </xf>
    <xf numFmtId="2" fontId="19" fillId="53" borderId="133" xfId="0" applyNumberFormat="1" applyFont="1" applyFill="1" applyBorder="1" applyAlignment="1">
      <alignment horizontal="right" vertical="center"/>
    </xf>
    <xf numFmtId="0" fontId="22" fillId="0" borderId="0" xfId="0" applyFont="1" applyFill="1" applyBorder="1" applyAlignment="1">
      <alignment vertical="center"/>
    </xf>
    <xf numFmtId="0" fontId="218" fillId="0" borderId="0" xfId="0" applyFont="1" applyAlignment="1">
      <alignment horizontal="right" vertical="top"/>
    </xf>
    <xf numFmtId="0" fontId="218" fillId="0" borderId="0" xfId="0" applyFont="1"/>
    <xf numFmtId="0" fontId="222" fillId="52" borderId="137" xfId="0" applyFont="1" applyFill="1" applyBorder="1"/>
    <xf numFmtId="2" fontId="222" fillId="52" borderId="116" xfId="0" applyNumberFormat="1" applyFont="1" applyFill="1" applyBorder="1"/>
    <xf numFmtId="2" fontId="222" fillId="52" borderId="138" xfId="0" applyNumberFormat="1" applyFont="1" applyFill="1" applyBorder="1"/>
    <xf numFmtId="2" fontId="179" fillId="51" borderId="121" xfId="0" applyNumberFormat="1" applyFont="1" applyFill="1" applyBorder="1"/>
    <xf numFmtId="0" fontId="21" fillId="53" borderId="8" xfId="0" applyFont="1" applyFill="1" applyBorder="1" applyAlignment="1">
      <alignment horizontal="center"/>
    </xf>
    <xf numFmtId="0" fontId="21" fillId="53" borderId="8" xfId="0" applyFont="1" applyFill="1" applyBorder="1"/>
    <xf numFmtId="0" fontId="13" fillId="53" borderId="8" xfId="0" applyFont="1" applyFill="1" applyBorder="1" applyAlignment="1">
      <alignment horizontal="center"/>
    </xf>
    <xf numFmtId="164" fontId="199" fillId="0" borderId="8" xfId="91" applyNumberFormat="1" applyFont="1" applyBorder="1" applyAlignment="1">
      <alignment horizontal="center" vertical="center"/>
    </xf>
    <xf numFmtId="2" fontId="179" fillId="55" borderId="125" xfId="0" applyNumberFormat="1" applyFont="1" applyFill="1" applyBorder="1"/>
    <xf numFmtId="2" fontId="179" fillId="55" borderId="123" xfId="0" applyNumberFormat="1" applyFont="1" applyFill="1" applyBorder="1"/>
    <xf numFmtId="0" fontId="110" fillId="0" borderId="56" xfId="70" applyFont="1" applyFill="1" applyBorder="1" applyAlignment="1">
      <alignment horizontal="center" vertical="center" wrapText="1"/>
    </xf>
    <xf numFmtId="2" fontId="174" fillId="0" borderId="0" xfId="0" applyNumberFormat="1" applyFont="1"/>
    <xf numFmtId="0" fontId="0" fillId="0" borderId="0" xfId="0"/>
    <xf numFmtId="0" fontId="21" fillId="0" borderId="8" xfId="0" applyFont="1" applyBorder="1" applyAlignment="1">
      <alignment horizontal="left"/>
    </xf>
    <xf numFmtId="0" fontId="0" fillId="0" borderId="8" xfId="0" applyBorder="1" applyAlignment="1">
      <alignment horizontal="left"/>
    </xf>
    <xf numFmtId="0" fontId="13" fillId="0" borderId="8" xfId="0" applyFont="1" applyBorder="1" applyAlignment="1">
      <alignment horizontal="left"/>
    </xf>
    <xf numFmtId="0" fontId="13" fillId="0" borderId="8" xfId="0" applyFont="1" applyBorder="1" applyAlignment="1">
      <alignment horizontal="left" wrapText="1"/>
    </xf>
    <xf numFmtId="0" fontId="13" fillId="0" borderId="8" xfId="0" applyFont="1" applyFill="1" applyBorder="1" applyAlignment="1">
      <alignment horizontal="left" wrapText="1"/>
    </xf>
    <xf numFmtId="0" fontId="13" fillId="0" borderId="8" xfId="0" applyFont="1" applyFill="1" applyBorder="1" applyAlignment="1">
      <alignment horizontal="center"/>
    </xf>
    <xf numFmtId="0" fontId="19" fillId="50" borderId="134" xfId="0" applyFont="1" applyFill="1" applyBorder="1" applyAlignment="1">
      <alignment horizontal="center" vertical="center"/>
    </xf>
    <xf numFmtId="0" fontId="19" fillId="50" borderId="134" xfId="0" quotePrefix="1" applyFont="1" applyFill="1" applyBorder="1" applyAlignment="1">
      <alignment horizontal="center" vertical="center"/>
    </xf>
    <xf numFmtId="2" fontId="156" fillId="0" borderId="0" xfId="0" applyNumberFormat="1" applyFont="1" applyBorder="1" applyAlignment="1">
      <alignment horizontal="right"/>
    </xf>
    <xf numFmtId="0" fontId="93" fillId="0" borderId="8" xfId="0" applyFont="1" applyBorder="1" applyAlignment="1">
      <alignment horizontal="center" vertical="center"/>
    </xf>
    <xf numFmtId="0" fontId="0" fillId="0" borderId="0" xfId="0"/>
    <xf numFmtId="0" fontId="99" fillId="0" borderId="0" xfId="0" applyFont="1" applyBorder="1"/>
    <xf numFmtId="0" fontId="97" fillId="28" borderId="45" xfId="0" applyFont="1" applyFill="1" applyBorder="1" applyAlignment="1"/>
    <xf numFmtId="0" fontId="92" fillId="0" borderId="45" xfId="0" applyFont="1" applyBorder="1" applyAlignment="1">
      <alignment horizontal="center"/>
    </xf>
    <xf numFmtId="0" fontId="93" fillId="0" borderId="45" xfId="0" applyFont="1" applyBorder="1" applyAlignment="1">
      <alignment horizontal="center"/>
    </xf>
    <xf numFmtId="49" fontId="93" fillId="0" borderId="45" xfId="0" applyNumberFormat="1" applyFont="1" applyBorder="1" applyAlignment="1">
      <alignment horizontal="center"/>
    </xf>
    <xf numFmtId="0" fontId="92" fillId="0" borderId="19" xfId="0" applyFont="1" applyBorder="1" applyAlignment="1">
      <alignment horizontal="center" vertical="center"/>
    </xf>
    <xf numFmtId="0" fontId="92" fillId="0" borderId="29" xfId="0" applyFont="1" applyBorder="1" applyAlignment="1">
      <alignment horizontal="center" vertical="center"/>
    </xf>
    <xf numFmtId="0" fontId="92" fillId="0" borderId="69" xfId="0" applyFont="1" applyBorder="1" applyAlignment="1">
      <alignment horizontal="center" vertical="center"/>
    </xf>
    <xf numFmtId="0" fontId="92" fillId="0" borderId="77" xfId="0" applyFont="1" applyBorder="1" applyAlignment="1">
      <alignment horizontal="center" vertical="center"/>
    </xf>
    <xf numFmtId="0" fontId="95" fillId="0" borderId="47" xfId="0" applyFont="1" applyBorder="1" applyAlignment="1">
      <alignment vertical="center"/>
    </xf>
    <xf numFmtId="0" fontId="13" fillId="0" borderId="45" xfId="0" applyFont="1" applyBorder="1"/>
    <xf numFmtId="0" fontId="17" fillId="0" borderId="45" xfId="0" applyFont="1" applyBorder="1"/>
    <xf numFmtId="0" fontId="17" fillId="0" borderId="77" xfId="0" applyFont="1" applyBorder="1"/>
    <xf numFmtId="0" fontId="13" fillId="0" borderId="77" xfId="0" applyFont="1" applyBorder="1"/>
    <xf numFmtId="0" fontId="13" fillId="0" borderId="48" xfId="0" applyFont="1" applyBorder="1"/>
    <xf numFmtId="1" fontId="189" fillId="0" borderId="41" xfId="91" applyNumberFormat="1" applyFont="1" applyFill="1" applyBorder="1" applyAlignment="1">
      <alignment horizontal="center"/>
    </xf>
    <xf numFmtId="17" fontId="21" fillId="0" borderId="41" xfId="91" applyNumberFormat="1" applyFont="1" applyFill="1" applyBorder="1" applyAlignment="1">
      <alignment horizontal="center" vertical="center"/>
    </xf>
    <xf numFmtId="17" fontId="53" fillId="0" borderId="46" xfId="91" applyNumberFormat="1" applyFont="1" applyFill="1" applyBorder="1" applyAlignment="1">
      <alignment horizontal="center" vertical="center"/>
    </xf>
    <xf numFmtId="0" fontId="63" fillId="46" borderId="8" xfId="91" applyFont="1" applyFill="1" applyBorder="1" applyAlignment="1">
      <alignment horizontal="center" textRotation="90"/>
    </xf>
    <xf numFmtId="0" fontId="53" fillId="46" borderId="8" xfId="91" applyFont="1" applyFill="1" applyBorder="1" applyAlignment="1">
      <alignment horizontal="center" textRotation="90"/>
    </xf>
    <xf numFmtId="0" fontId="188" fillId="0" borderId="45" xfId="91" applyFont="1" applyFill="1" applyBorder="1" applyAlignment="1">
      <alignment vertical="center"/>
    </xf>
    <xf numFmtId="0" fontId="63" fillId="0" borderId="45" xfId="91" applyFont="1" applyFill="1" applyBorder="1" applyAlignment="1">
      <alignment vertical="center"/>
    </xf>
    <xf numFmtId="0" fontId="63" fillId="0" borderId="48" xfId="91" applyFont="1" applyFill="1" applyBorder="1" applyAlignment="1">
      <alignment vertical="center"/>
    </xf>
    <xf numFmtId="0" fontId="63" fillId="46" borderId="41" xfId="91" applyFont="1" applyFill="1" applyBorder="1" applyAlignment="1">
      <alignment horizontal="center" textRotation="90"/>
    </xf>
    <xf numFmtId="0" fontId="53" fillId="46" borderId="45" xfId="91" applyFont="1" applyFill="1" applyBorder="1" applyAlignment="1">
      <alignment horizontal="center" textRotation="90"/>
    </xf>
    <xf numFmtId="0" fontId="53" fillId="46" borderId="41" xfId="91" applyFont="1" applyFill="1" applyBorder="1" applyAlignment="1">
      <alignment horizontal="center" textRotation="90"/>
    </xf>
    <xf numFmtId="182" fontId="189" fillId="0" borderId="41" xfId="91" applyNumberFormat="1" applyFont="1" applyFill="1" applyBorder="1" applyAlignment="1">
      <alignment horizontal="center"/>
    </xf>
    <xf numFmtId="0" fontId="21" fillId="0" borderId="8" xfId="0" applyFont="1" applyBorder="1" applyAlignment="1">
      <alignment horizontal="center" vertical="center" wrapText="1"/>
    </xf>
    <xf numFmtId="0" fontId="109" fillId="0" borderId="41" xfId="0" applyFont="1" applyFill="1" applyBorder="1" applyAlignment="1">
      <alignment vertical="top" wrapText="1"/>
    </xf>
    <xf numFmtId="0" fontId="13" fillId="0" borderId="0" xfId="58" applyFont="1"/>
    <xf numFmtId="1" fontId="21" fillId="0" borderId="8" xfId="0" applyNumberFormat="1" applyFont="1" applyBorder="1" applyAlignment="1">
      <alignment horizontal="center" vertical="top" wrapText="1"/>
    </xf>
    <xf numFmtId="0" fontId="13" fillId="0" borderId="8" xfId="0" applyFont="1" applyBorder="1" applyAlignment="1">
      <alignment horizontal="left" vertical="center" wrapText="1"/>
    </xf>
    <xf numFmtId="2" fontId="13" fillId="0" borderId="8" xfId="0" applyNumberFormat="1" applyFont="1" applyBorder="1" applyAlignment="1">
      <alignment horizontal="right"/>
    </xf>
    <xf numFmtId="0" fontId="142" fillId="0" borderId="8" xfId="0" applyFont="1" applyBorder="1" applyAlignment="1">
      <alignment horizontal="center"/>
    </xf>
    <xf numFmtId="0" fontId="13" fillId="41" borderId="8" xfId="0" applyFont="1" applyFill="1" applyBorder="1" applyAlignment="1">
      <alignment horizontal="left" vertical="center" wrapText="1"/>
    </xf>
    <xf numFmtId="0" fontId="142" fillId="0" borderId="0" xfId="0" applyFont="1" applyBorder="1" applyAlignment="1">
      <alignment vertical="center" wrapText="1"/>
    </xf>
    <xf numFmtId="0" fontId="13" fillId="0" borderId="8" xfId="0" applyFont="1" applyFill="1" applyBorder="1" applyAlignment="1">
      <alignment horizontal="left" vertical="center"/>
    </xf>
    <xf numFmtId="0" fontId="0" fillId="0" borderId="15" xfId="0" applyBorder="1"/>
    <xf numFmtId="0" fontId="21" fillId="0" borderId="8" xfId="0" applyFont="1" applyBorder="1" applyAlignment="1">
      <alignment horizontal="center"/>
    </xf>
    <xf numFmtId="0" fontId="0" fillId="0" borderId="0" xfId="0"/>
    <xf numFmtId="0" fontId="21" fillId="0" borderId="8" xfId="58" applyFont="1" applyBorder="1" applyAlignment="1">
      <alignment horizontal="center" vertical="center"/>
    </xf>
    <xf numFmtId="2" fontId="13" fillId="0" borderId="0" xfId="58" applyNumberFormat="1" applyFont="1" applyFill="1" applyBorder="1"/>
    <xf numFmtId="0" fontId="13" fillId="0" borderId="0" xfId="58" applyFont="1" applyBorder="1"/>
    <xf numFmtId="2" fontId="13" fillId="0" borderId="0" xfId="58" applyNumberFormat="1" applyFont="1" applyBorder="1"/>
    <xf numFmtId="0" fontId="13" fillId="0" borderId="0" xfId="58" applyFont="1" applyFill="1" applyBorder="1"/>
    <xf numFmtId="0" fontId="20" fillId="0" borderId="18" xfId="58" applyBorder="1"/>
    <xf numFmtId="0" fontId="20" fillId="0" borderId="15" xfId="58" applyBorder="1"/>
    <xf numFmtId="0" fontId="142" fillId="0" borderId="15" xfId="58" applyFont="1" applyBorder="1"/>
    <xf numFmtId="17" fontId="157" fillId="0" borderId="18" xfId="58" applyNumberFormat="1" applyFont="1" applyBorder="1"/>
    <xf numFmtId="0" fontId="20" fillId="0" borderId="19" xfId="58" applyBorder="1"/>
    <xf numFmtId="0" fontId="92" fillId="0" borderId="0" xfId="0" applyFont="1" applyBorder="1" applyAlignment="1">
      <alignment horizontal="center"/>
    </xf>
    <xf numFmtId="2" fontId="21" fillId="0" borderId="86" xfId="58" applyNumberFormat="1" applyFont="1" applyBorder="1"/>
    <xf numFmtId="2" fontId="167" fillId="0" borderId="43" xfId="58" applyNumberFormat="1" applyFont="1" applyBorder="1"/>
    <xf numFmtId="165" fontId="21" fillId="0" borderId="48" xfId="58" applyNumberFormat="1" applyFont="1" applyBorder="1"/>
    <xf numFmtId="0" fontId="55" fillId="0" borderId="139" xfId="0" applyFont="1" applyBorder="1" applyAlignment="1"/>
    <xf numFmtId="0" fontId="0" fillId="0" borderId="140" xfId="0" applyBorder="1" applyAlignment="1"/>
    <xf numFmtId="0" fontId="0" fillId="0" borderId="86" xfId="0" applyBorder="1" applyAlignment="1"/>
    <xf numFmtId="0" fontId="86" fillId="0" borderId="60" xfId="69" applyFont="1" applyFill="1" applyBorder="1" applyAlignment="1">
      <alignment vertical="center"/>
    </xf>
    <xf numFmtId="0" fontId="109" fillId="0" borderId="46" xfId="0" applyFont="1" applyFill="1" applyBorder="1" applyAlignment="1">
      <alignment vertical="center"/>
    </xf>
    <xf numFmtId="2" fontId="13" fillId="0" borderId="8" xfId="0" applyNumberFormat="1" applyFont="1" applyBorder="1"/>
    <xf numFmtId="164" fontId="155" fillId="41" borderId="8" xfId="0" applyNumberFormat="1" applyFont="1" applyFill="1" applyBorder="1" applyAlignment="1">
      <alignment horizontal="center"/>
    </xf>
    <xf numFmtId="0" fontId="175" fillId="0" borderId="30" xfId="0" applyFont="1" applyBorder="1"/>
    <xf numFmtId="2" fontId="156" fillId="0" borderId="13" xfId="0" applyNumberFormat="1" applyFont="1" applyBorder="1" applyAlignment="1">
      <alignment horizontal="right"/>
    </xf>
    <xf numFmtId="0" fontId="0" fillId="0" borderId="0" xfId="0"/>
    <xf numFmtId="0" fontId="21" fillId="0" borderId="8" xfId="0" applyFont="1" applyBorder="1" applyAlignment="1">
      <alignment horizontal="center" vertical="center"/>
    </xf>
    <xf numFmtId="165" fontId="21" fillId="0" borderId="30" xfId="0" applyNumberFormat="1" applyFont="1" applyBorder="1"/>
    <xf numFmtId="0" fontId="229" fillId="0" borderId="0" xfId="0" applyFont="1"/>
    <xf numFmtId="0" fontId="13" fillId="53" borderId="8" xfId="0" applyFont="1" applyFill="1" applyBorder="1"/>
    <xf numFmtId="184" fontId="62" fillId="0" borderId="23" xfId="0" applyNumberFormat="1" applyFont="1" applyFill="1" applyBorder="1" applyAlignment="1">
      <alignment horizontal="right" vertical="center"/>
    </xf>
    <xf numFmtId="0" fontId="0" fillId="0" borderId="0" xfId="0"/>
    <xf numFmtId="2" fontId="21" fillId="0" borderId="8" xfId="0" applyNumberFormat="1" applyFont="1" applyBorder="1"/>
    <xf numFmtId="0" fontId="110" fillId="0" borderId="44" xfId="69" applyFont="1" applyFill="1" applyBorder="1" applyAlignment="1">
      <alignment vertical="center" wrapText="1"/>
    </xf>
    <xf numFmtId="0" fontId="230" fillId="0" borderId="45" xfId="71" applyFont="1" applyFill="1" applyBorder="1" applyAlignment="1">
      <alignment vertical="center"/>
    </xf>
    <xf numFmtId="20" fontId="18" fillId="0" borderId="45" xfId="71" applyNumberFormat="1" applyFont="1" applyFill="1" applyBorder="1" applyAlignment="1">
      <alignment horizontal="left" vertical="center"/>
    </xf>
    <xf numFmtId="0" fontId="18" fillId="0" borderId="48" xfId="71" applyFont="1" applyFill="1" applyBorder="1" applyAlignment="1">
      <alignment vertical="center" wrapText="1"/>
    </xf>
    <xf numFmtId="0" fontId="134" fillId="0" borderId="59" xfId="69" applyFont="1" applyFill="1" applyBorder="1" applyAlignment="1">
      <alignment vertical="center"/>
    </xf>
    <xf numFmtId="0" fontId="86" fillId="0" borderId="59" xfId="69" applyFont="1" applyFill="1" applyBorder="1" applyAlignment="1">
      <alignment horizontal="left" vertical="center"/>
    </xf>
    <xf numFmtId="0" fontId="18" fillId="0" borderId="59" xfId="71" applyFont="1" applyFill="1" applyBorder="1" applyAlignment="1">
      <alignment vertical="center" wrapText="1"/>
    </xf>
    <xf numFmtId="0" fontId="18" fillId="0" borderId="45" xfId="71" applyFont="1" applyFill="1" applyBorder="1" applyAlignment="1">
      <alignment horizontal="left" vertical="center"/>
    </xf>
    <xf numFmtId="0" fontId="85" fillId="0" borderId="59" xfId="69" applyFont="1" applyFill="1" applyBorder="1" applyAlignment="1">
      <alignment vertical="center" wrapText="1"/>
    </xf>
    <xf numFmtId="1" fontId="21" fillId="0" borderId="48" xfId="91" applyNumberFormat="1" applyFont="1" applyFill="1" applyBorder="1" applyAlignment="1">
      <alignment horizontal="center"/>
    </xf>
    <xf numFmtId="0" fontId="21" fillId="0" borderId="45" xfId="91" applyFont="1" applyFill="1" applyBorder="1" applyAlignment="1">
      <alignment horizontal="center"/>
    </xf>
    <xf numFmtId="0" fontId="21" fillId="0" borderId="48" xfId="91" applyFont="1" applyFill="1" applyBorder="1" applyAlignment="1">
      <alignment horizontal="center"/>
    </xf>
    <xf numFmtId="1" fontId="53" fillId="0" borderId="48" xfId="91" applyNumberFormat="1" applyFont="1" applyFill="1" applyBorder="1" applyAlignment="1">
      <alignment horizontal="center"/>
    </xf>
    <xf numFmtId="0" fontId="21" fillId="0" borderId="17" xfId="58" applyFont="1" applyBorder="1" applyAlignment="1">
      <alignment horizontal="right"/>
    </xf>
    <xf numFmtId="1" fontId="13" fillId="0" borderId="8" xfId="91" applyNumberFormat="1" applyFont="1" applyFill="1" applyBorder="1" applyAlignment="1">
      <alignment horizontal="center"/>
    </xf>
    <xf numFmtId="1" fontId="21" fillId="0" borderId="45" xfId="91" applyNumberFormat="1" applyFont="1" applyFill="1" applyBorder="1" applyAlignment="1">
      <alignment horizontal="center"/>
    </xf>
    <xf numFmtId="0" fontId="13" fillId="0" borderId="8" xfId="91" applyFont="1" applyFill="1" applyBorder="1" applyAlignment="1">
      <alignment horizontal="center"/>
    </xf>
    <xf numFmtId="1" fontId="13" fillId="0" borderId="41" xfId="91" applyNumberFormat="1" applyFont="1" applyFill="1" applyBorder="1" applyAlignment="1">
      <alignment horizontal="center"/>
    </xf>
    <xf numFmtId="0" fontId="13" fillId="0" borderId="41" xfId="91" applyFont="1" applyFill="1" applyBorder="1" applyAlignment="1">
      <alignment horizontal="center"/>
    </xf>
    <xf numFmtId="1" fontId="21" fillId="0" borderId="41" xfId="91" applyNumberFormat="1" applyFont="1" applyFill="1" applyBorder="1" applyAlignment="1">
      <alignment horizontal="center"/>
    </xf>
    <xf numFmtId="1" fontId="53" fillId="0" borderId="45" xfId="91" applyNumberFormat="1" applyFont="1" applyFill="1" applyBorder="1" applyAlignment="1">
      <alignment horizontal="center"/>
    </xf>
    <xf numFmtId="0" fontId="21" fillId="0" borderId="17" xfId="0" applyFont="1" applyBorder="1" applyAlignment="1">
      <alignment horizontal="left"/>
    </xf>
    <xf numFmtId="0" fontId="21" fillId="0" borderId="23" xfId="0" applyFont="1" applyFill="1" applyBorder="1" applyAlignment="1"/>
    <xf numFmtId="180" fontId="21" fillId="0" borderId="8" xfId="0" applyNumberFormat="1" applyFont="1" applyBorder="1" applyAlignment="1">
      <alignment horizontal="center"/>
    </xf>
    <xf numFmtId="0" fontId="21" fillId="0" borderId="0" xfId="0" applyFont="1" applyBorder="1" applyAlignment="1">
      <alignment horizontal="left"/>
    </xf>
    <xf numFmtId="3" fontId="197" fillId="0" borderId="8" xfId="0" applyNumberFormat="1" applyFont="1" applyFill="1" applyBorder="1" applyAlignment="1">
      <alignment horizontal="center" vertical="center"/>
    </xf>
    <xf numFmtId="2" fontId="155" fillId="0" borderId="8" xfId="0" applyNumberFormat="1" applyFont="1" applyBorder="1" applyAlignment="1">
      <alignment horizontal="right"/>
    </xf>
    <xf numFmtId="0" fontId="175" fillId="0" borderId="20" xfId="0" applyFont="1" applyBorder="1" applyAlignment="1">
      <alignment horizontal="center"/>
    </xf>
    <xf numFmtId="0" fontId="0" fillId="0" borderId="0" xfId="0"/>
    <xf numFmtId="2" fontId="155" fillId="0" borderId="0" xfId="0" applyNumberFormat="1" applyFont="1" applyBorder="1" applyAlignment="1">
      <alignment horizontal="center"/>
    </xf>
    <xf numFmtId="164" fontId="155" fillId="0" borderId="0" xfId="0" applyNumberFormat="1" applyFont="1" applyBorder="1" applyAlignment="1">
      <alignment horizontal="center"/>
    </xf>
    <xf numFmtId="2" fontId="155" fillId="0" borderId="15" xfId="0" applyNumberFormat="1" applyFont="1" applyBorder="1" applyAlignment="1">
      <alignment horizontal="center"/>
    </xf>
    <xf numFmtId="0" fontId="233" fillId="0" borderId="8" xfId="0" applyFont="1" applyFill="1" applyBorder="1" applyAlignment="1">
      <alignment horizontal="center" vertical="center" wrapText="1"/>
    </xf>
    <xf numFmtId="0" fontId="233" fillId="0" borderId="45" xfId="0" applyFont="1" applyFill="1" applyBorder="1" applyAlignment="1">
      <alignment horizontal="center" vertical="center" wrapText="1"/>
    </xf>
    <xf numFmtId="0" fontId="117" fillId="0" borderId="0" xfId="0" applyFont="1" applyBorder="1" applyAlignment="1">
      <alignment horizontal="center"/>
    </xf>
    <xf numFmtId="0" fontId="0" fillId="0" borderId="0" xfId="0"/>
    <xf numFmtId="0" fontId="21" fillId="0" borderId="8" xfId="0" applyFont="1" applyBorder="1" applyAlignment="1">
      <alignment horizontal="center"/>
    </xf>
    <xf numFmtId="0" fontId="19" fillId="50" borderId="120" xfId="0" applyFont="1" applyFill="1" applyBorder="1" applyAlignment="1">
      <alignment horizontal="center" vertical="center"/>
    </xf>
    <xf numFmtId="0" fontId="218" fillId="0" borderId="0" xfId="0" applyFont="1" applyAlignment="1">
      <alignment horizontal="left" wrapText="1"/>
    </xf>
    <xf numFmtId="0" fontId="59" fillId="0" borderId="20" xfId="0" applyFont="1" applyFill="1" applyBorder="1" applyAlignment="1">
      <alignment horizontal="left" vertical="center"/>
    </xf>
    <xf numFmtId="0" fontId="59" fillId="0" borderId="23" xfId="0" applyFont="1" applyFill="1" applyBorder="1" applyAlignment="1">
      <alignment horizontal="left" vertical="center"/>
    </xf>
    <xf numFmtId="0" fontId="109" fillId="0" borderId="28" xfId="0" applyFont="1" applyFill="1" applyBorder="1" applyAlignment="1">
      <alignment horizontal="center" vertical="center"/>
    </xf>
    <xf numFmtId="0" fontId="109" fillId="0" borderId="49" xfId="0" applyFont="1" applyFill="1" applyBorder="1" applyAlignment="1">
      <alignment horizontal="center" vertical="center"/>
    </xf>
    <xf numFmtId="0" fontId="60" fillId="0" borderId="31" xfId="0" applyFont="1" applyFill="1" applyBorder="1" applyAlignment="1">
      <alignment horizontal="center" vertical="center"/>
    </xf>
    <xf numFmtId="0" fontId="60" fillId="0" borderId="14" xfId="0" applyFont="1" applyFill="1" applyBorder="1" applyAlignment="1">
      <alignment horizontal="center" vertical="center"/>
    </xf>
    <xf numFmtId="0" fontId="232" fillId="0" borderId="8" xfId="0" applyFont="1" applyBorder="1" applyAlignment="1">
      <alignment horizontal="center" vertical="center"/>
    </xf>
    <xf numFmtId="2" fontId="13" fillId="0" borderId="8" xfId="0" applyNumberFormat="1" applyFont="1" applyFill="1" applyBorder="1"/>
    <xf numFmtId="0" fontId="0" fillId="0" borderId="8" xfId="0" applyBorder="1" applyAlignment="1"/>
    <xf numFmtId="2" fontId="0" fillId="0" borderId="8" xfId="0" applyNumberFormat="1" applyBorder="1" applyAlignment="1">
      <alignment horizontal="right"/>
    </xf>
    <xf numFmtId="2" fontId="0" fillId="0" borderId="8" xfId="0" applyNumberFormat="1" applyBorder="1" applyAlignment="1"/>
    <xf numFmtId="2" fontId="0" fillId="0" borderId="8" xfId="0" applyNumberFormat="1" applyBorder="1" applyAlignment="1">
      <alignment horizontal="right" vertical="center"/>
    </xf>
    <xf numFmtId="2" fontId="0" fillId="0" borderId="8" xfId="0" applyNumberFormat="1" applyBorder="1" applyAlignment="1">
      <alignment vertical="center"/>
    </xf>
    <xf numFmtId="2" fontId="13" fillId="0" borderId="8" xfId="0" applyNumberFormat="1" applyFont="1" applyBorder="1" applyAlignment="1">
      <alignment horizontal="center" wrapText="1"/>
    </xf>
    <xf numFmtId="0" fontId="19" fillId="0" borderId="0" xfId="0" applyFont="1" applyBorder="1" applyAlignment="1">
      <alignment horizontal="center" vertical="center"/>
    </xf>
    <xf numFmtId="0" fontId="19" fillId="0" borderId="0" xfId="0" applyFont="1" applyBorder="1" applyAlignment="1">
      <alignment horizontal="left" vertical="center" indent="1"/>
    </xf>
    <xf numFmtId="2" fontId="19" fillId="0" borderId="0" xfId="0" applyNumberFormat="1" applyFont="1" applyBorder="1" applyAlignment="1">
      <alignment horizontal="right" vertical="center" indent="2"/>
    </xf>
    <xf numFmtId="2" fontId="19" fillId="0" borderId="0" xfId="0" applyNumberFormat="1" applyFont="1" applyBorder="1" applyAlignment="1">
      <alignment horizontal="right" vertical="center" indent="1"/>
    </xf>
    <xf numFmtId="0" fontId="234" fillId="0" borderId="0" xfId="0" applyFont="1"/>
    <xf numFmtId="0" fontId="218" fillId="0" borderId="0" xfId="0" applyFont="1" applyAlignment="1">
      <alignment wrapText="1"/>
    </xf>
    <xf numFmtId="2" fontId="22" fillId="0" borderId="0" xfId="0" applyNumberFormat="1" applyFont="1" applyBorder="1" applyAlignment="1">
      <alignment vertical="center"/>
    </xf>
    <xf numFmtId="0" fontId="19" fillId="0" borderId="0" xfId="0" applyFont="1" applyBorder="1" applyAlignment="1">
      <alignment horizontal="left" vertical="center"/>
    </xf>
    <xf numFmtId="2" fontId="19" fillId="0" borderId="0" xfId="0" applyNumberFormat="1" applyFont="1" applyBorder="1" applyAlignment="1">
      <alignment horizontal="right" vertical="center"/>
    </xf>
    <xf numFmtId="2" fontId="22" fillId="0" borderId="0" xfId="0" applyNumberFormat="1" applyFont="1" applyBorder="1" applyAlignment="1">
      <alignment horizontal="right" vertical="center"/>
    </xf>
    <xf numFmtId="0" fontId="19" fillId="0" borderId="0" xfId="0" applyFont="1" applyBorder="1" applyAlignment="1">
      <alignment horizontal="center" vertical="center" wrapText="1"/>
    </xf>
    <xf numFmtId="0" fontId="53" fillId="46" borderId="45" xfId="91" applyFont="1" applyFill="1" applyBorder="1" applyAlignment="1">
      <alignment textRotation="90"/>
    </xf>
    <xf numFmtId="0" fontId="68" fillId="46" borderId="45" xfId="91" applyFont="1" applyFill="1" applyBorder="1" applyAlignment="1">
      <alignment textRotation="90"/>
    </xf>
    <xf numFmtId="0" fontId="53" fillId="46" borderId="8" xfId="91" applyFont="1" applyFill="1" applyBorder="1" applyAlignment="1">
      <alignment textRotation="90"/>
    </xf>
    <xf numFmtId="0" fontId="68" fillId="46" borderId="8" xfId="91" applyFont="1" applyFill="1" applyBorder="1" applyAlignment="1">
      <alignment horizontal="center" textRotation="90"/>
    </xf>
    <xf numFmtId="1" fontId="21" fillId="0" borderId="8" xfId="91" applyNumberFormat="1" applyFont="1" applyFill="1" applyBorder="1" applyAlignment="1">
      <alignment horizontal="center"/>
    </xf>
    <xf numFmtId="0" fontId="21" fillId="0" borderId="8" xfId="91" applyFont="1" applyFill="1" applyBorder="1" applyAlignment="1">
      <alignment horizontal="center"/>
    </xf>
    <xf numFmtId="182" fontId="189" fillId="0" borderId="8" xfId="91" applyNumberFormat="1" applyFont="1" applyFill="1" applyBorder="1" applyAlignment="1">
      <alignment horizontal="center"/>
    </xf>
    <xf numFmtId="0" fontId="188" fillId="0" borderId="8" xfId="91" applyFont="1" applyFill="1" applyBorder="1" applyAlignment="1">
      <alignment vertical="center"/>
    </xf>
    <xf numFmtId="1" fontId="189" fillId="0" borderId="8" xfId="91" applyNumberFormat="1" applyFont="1" applyFill="1" applyBorder="1" applyAlignment="1">
      <alignment horizontal="center"/>
    </xf>
    <xf numFmtId="17" fontId="21" fillId="0" borderId="8" xfId="91" applyNumberFormat="1" applyFont="1" applyFill="1" applyBorder="1" applyAlignment="1">
      <alignment horizontal="center" vertical="center"/>
    </xf>
    <xf numFmtId="0" fontId="63" fillId="0" borderId="8" xfId="91" applyFont="1" applyFill="1" applyBorder="1" applyAlignment="1">
      <alignment vertical="center"/>
    </xf>
    <xf numFmtId="17" fontId="53" fillId="0" borderId="8" xfId="91" applyNumberFormat="1" applyFont="1" applyFill="1" applyBorder="1" applyAlignment="1">
      <alignment horizontal="center" vertical="center"/>
    </xf>
    <xf numFmtId="0" fontId="21" fillId="0" borderId="30" xfId="0" applyFont="1" applyBorder="1" applyAlignment="1">
      <alignment vertical="center"/>
    </xf>
    <xf numFmtId="0" fontId="21" fillId="0" borderId="4" xfId="0" applyFont="1" applyBorder="1" applyAlignment="1">
      <alignment vertical="center"/>
    </xf>
    <xf numFmtId="0" fontId="21" fillId="0" borderId="21" xfId="0" applyFont="1" applyBorder="1" applyAlignment="1">
      <alignment vertical="center"/>
    </xf>
    <xf numFmtId="0" fontId="53" fillId="0" borderId="24" xfId="0" applyFont="1" applyBorder="1" applyAlignment="1">
      <alignment vertical="center"/>
    </xf>
    <xf numFmtId="0" fontId="53" fillId="0" borderId="33" xfId="0" applyFont="1" applyBorder="1" applyAlignment="1">
      <alignment vertical="center"/>
    </xf>
    <xf numFmtId="0" fontId="53" fillId="0" borderId="14" xfId="0" applyFont="1" applyBorder="1" applyAlignment="1">
      <alignment vertical="center"/>
    </xf>
    <xf numFmtId="0" fontId="109" fillId="0" borderId="32" xfId="0" applyFont="1" applyFill="1" applyBorder="1" applyAlignment="1">
      <alignment vertical="top" wrapText="1"/>
    </xf>
    <xf numFmtId="0" fontId="110" fillId="0" borderId="50" xfId="0" applyFont="1" applyFill="1" applyBorder="1" applyAlignment="1">
      <alignment vertical="top" wrapText="1"/>
    </xf>
    <xf numFmtId="0" fontId="58" fillId="0" borderId="0" xfId="0" applyFont="1" applyFill="1" applyAlignment="1">
      <alignment horizontal="center" vertical="center"/>
    </xf>
    <xf numFmtId="3" fontId="235" fillId="0" borderId="0" xfId="0" applyNumberFormat="1" applyFont="1" applyFill="1" applyAlignment="1">
      <alignment horizontal="left" vertical="center"/>
    </xf>
    <xf numFmtId="0" fontId="59" fillId="0" borderId="20" xfId="0" applyFont="1" applyFill="1" applyBorder="1" applyAlignment="1">
      <alignment vertical="center"/>
    </xf>
    <xf numFmtId="0" fontId="110" fillId="0" borderId="30" xfId="0" applyFont="1" applyFill="1" applyBorder="1" applyAlignment="1">
      <alignment vertical="center"/>
    </xf>
    <xf numFmtId="0" fontId="110" fillId="0" borderId="4" xfId="0" applyFont="1" applyFill="1" applyBorder="1" applyAlignment="1">
      <alignment vertical="center"/>
    </xf>
    <xf numFmtId="0" fontId="110" fillId="0" borderId="22" xfId="0" applyFont="1" applyFill="1" applyBorder="1" applyAlignment="1">
      <alignment vertical="center"/>
    </xf>
    <xf numFmtId="0" fontId="110" fillId="0" borderId="49" xfId="0" applyFont="1" applyFill="1" applyBorder="1" applyAlignment="1">
      <alignment vertical="center"/>
    </xf>
    <xf numFmtId="0" fontId="59" fillId="0" borderId="23" xfId="0" applyFont="1" applyFill="1" applyBorder="1" applyAlignment="1">
      <alignment vertical="center"/>
    </xf>
    <xf numFmtId="0" fontId="109" fillId="0" borderId="28" xfId="0" applyFont="1" applyFill="1" applyBorder="1" applyAlignment="1">
      <alignment vertical="center"/>
    </xf>
    <xf numFmtId="0" fontId="109" fillId="0" borderId="49" xfId="0" applyFont="1" applyFill="1" applyBorder="1" applyAlignment="1">
      <alignment vertical="center"/>
    </xf>
    <xf numFmtId="0" fontId="60" fillId="0" borderId="32" xfId="0" applyFont="1" applyFill="1" applyBorder="1" applyAlignment="1">
      <alignment vertical="center"/>
    </xf>
    <xf numFmtId="0" fontId="60" fillId="0" borderId="31" xfId="0" applyFont="1" applyFill="1" applyBorder="1" applyAlignment="1">
      <alignment vertical="center"/>
    </xf>
    <xf numFmtId="0" fontId="22" fillId="0" borderId="30" xfId="0" applyFont="1" applyBorder="1" applyAlignment="1">
      <alignment vertical="center"/>
    </xf>
    <xf numFmtId="0" fontId="22" fillId="0" borderId="4" xfId="0" applyFont="1" applyBorder="1" applyAlignment="1">
      <alignment vertical="center"/>
    </xf>
    <xf numFmtId="0" fontId="22" fillId="0" borderId="21" xfId="0" applyFont="1" applyBorder="1" applyAlignment="1">
      <alignment vertical="center"/>
    </xf>
    <xf numFmtId="3" fontId="235" fillId="0" borderId="0" xfId="0" applyNumberFormat="1" applyFont="1" applyFill="1" applyAlignment="1">
      <alignment vertical="center"/>
    </xf>
    <xf numFmtId="0" fontId="58" fillId="0" borderId="0" xfId="0" applyFont="1" applyFill="1" applyAlignment="1">
      <alignment vertical="center"/>
    </xf>
    <xf numFmtId="0" fontId="60" fillId="0" borderId="33" xfId="0" applyFont="1" applyFill="1" applyBorder="1" applyAlignment="1">
      <alignment vertical="center"/>
    </xf>
    <xf numFmtId="0" fontId="60" fillId="0" borderId="14" xfId="0" applyFont="1" applyFill="1" applyBorder="1" applyAlignment="1">
      <alignment vertical="center"/>
    </xf>
    <xf numFmtId="0" fontId="63" fillId="0" borderId="8" xfId="0" applyFont="1" applyFill="1" applyBorder="1" applyAlignment="1">
      <alignment horizontal="center"/>
    </xf>
    <xf numFmtId="0" fontId="83" fillId="0" borderId="0" xfId="0" applyFont="1" applyBorder="1" applyAlignment="1"/>
    <xf numFmtId="0" fontId="122" fillId="0" borderId="37" xfId="0" applyFont="1" applyBorder="1" applyAlignment="1">
      <alignment horizontal="center"/>
    </xf>
    <xf numFmtId="0" fontId="77" fillId="0" borderId="0" xfId="0" applyFont="1" applyBorder="1"/>
    <xf numFmtId="0" fontId="174" fillId="0" borderId="0" xfId="0" applyFont="1" applyBorder="1"/>
    <xf numFmtId="0" fontId="233" fillId="0" borderId="41" xfId="0" applyFont="1" applyFill="1" applyBorder="1" applyAlignment="1">
      <alignment horizontal="center" vertical="center" wrapText="1"/>
    </xf>
    <xf numFmtId="0" fontId="154" fillId="0" borderId="41" xfId="0" applyFont="1" applyFill="1" applyBorder="1" applyAlignment="1">
      <alignment horizontal="center" vertical="center" wrapText="1"/>
    </xf>
    <xf numFmtId="2" fontId="155" fillId="0" borderId="41" xfId="0" applyNumberFormat="1" applyFont="1" applyBorder="1" applyAlignment="1">
      <alignment horizontal="center"/>
    </xf>
    <xf numFmtId="0" fontId="117" fillId="0" borderId="18" xfId="0" applyFont="1" applyBorder="1"/>
    <xf numFmtId="0" fontId="175" fillId="0" borderId="41" xfId="0" applyFont="1" applyBorder="1" applyAlignment="1">
      <alignment horizontal="center"/>
    </xf>
    <xf numFmtId="0" fontId="176" fillId="0" borderId="41" xfId="0" applyFont="1" applyBorder="1"/>
    <xf numFmtId="0" fontId="175" fillId="0" borderId="41" xfId="0" applyFont="1" applyBorder="1"/>
    <xf numFmtId="0" fontId="117" fillId="0" borderId="19" xfId="0" applyFont="1" applyBorder="1"/>
    <xf numFmtId="2" fontId="117" fillId="0" borderId="17" xfId="0" applyNumberFormat="1" applyFont="1" applyFill="1" applyBorder="1"/>
    <xf numFmtId="0" fontId="117" fillId="0" borderId="17" xfId="0" applyFont="1" applyFill="1" applyBorder="1"/>
    <xf numFmtId="0" fontId="0" fillId="0" borderId="17" xfId="0" applyFont="1" applyFill="1" applyBorder="1"/>
    <xf numFmtId="1" fontId="19" fillId="0" borderId="0" xfId="0" applyNumberFormat="1" applyFont="1" applyBorder="1" applyAlignment="1">
      <alignment horizontal="right" vertical="center"/>
    </xf>
    <xf numFmtId="1" fontId="22" fillId="0" borderId="0" xfId="0" applyNumberFormat="1" applyFont="1" applyBorder="1" applyAlignment="1">
      <alignment horizontal="right" vertical="center"/>
    </xf>
    <xf numFmtId="1" fontId="19" fillId="0" borderId="0" xfId="0" applyNumberFormat="1" applyFont="1" applyBorder="1" applyAlignment="1">
      <alignment horizontal="right" vertical="center" indent="1"/>
    </xf>
    <xf numFmtId="0" fontId="0" fillId="0" borderId="0" xfId="0"/>
    <xf numFmtId="0" fontId="19" fillId="50" borderId="115" xfId="0" applyFont="1" applyFill="1" applyBorder="1" applyAlignment="1">
      <alignment horizontal="center" vertical="center"/>
    </xf>
    <xf numFmtId="2" fontId="19" fillId="53" borderId="14" xfId="0" applyNumberFormat="1" applyFont="1" applyFill="1" applyBorder="1" applyAlignment="1">
      <alignment horizontal="right" vertical="center"/>
    </xf>
    <xf numFmtId="2" fontId="19" fillId="53" borderId="127" xfId="0" applyNumberFormat="1" applyFont="1" applyFill="1" applyBorder="1" applyAlignment="1">
      <alignment horizontal="right" vertical="center"/>
    </xf>
    <xf numFmtId="0" fontId="19" fillId="50" borderId="131" xfId="0" applyFont="1" applyFill="1" applyBorder="1" applyAlignment="1">
      <alignment horizontal="center" vertical="center"/>
    </xf>
    <xf numFmtId="0" fontId="19" fillId="50" borderId="4" xfId="0" applyFont="1" applyFill="1" applyBorder="1" applyAlignment="1">
      <alignment vertical="center"/>
    </xf>
    <xf numFmtId="0" fontId="60" fillId="0" borderId="32" xfId="0" applyFont="1" applyFill="1" applyBorder="1" applyAlignment="1">
      <alignment horizontal="center" vertical="center"/>
    </xf>
    <xf numFmtId="0" fontId="22" fillId="0" borderId="30" xfId="0" applyFont="1" applyFill="1" applyBorder="1" applyAlignment="1">
      <alignment vertical="center"/>
    </xf>
    <xf numFmtId="0" fontId="22" fillId="0" borderId="4" xfId="0" applyFont="1" applyFill="1" applyBorder="1" applyAlignment="1">
      <alignment vertical="center"/>
    </xf>
    <xf numFmtId="0" fontId="22" fillId="0" borderId="21" xfId="0" applyFont="1" applyFill="1" applyBorder="1" applyAlignment="1">
      <alignment vertical="center"/>
    </xf>
    <xf numFmtId="0" fontId="22" fillId="0" borderId="104" xfId="0" applyFont="1" applyFill="1" applyBorder="1" applyAlignment="1">
      <alignment vertical="center"/>
    </xf>
    <xf numFmtId="0" fontId="22" fillId="0" borderId="105" xfId="0" applyFont="1" applyFill="1" applyBorder="1" applyAlignment="1">
      <alignment vertical="center"/>
    </xf>
    <xf numFmtId="0" fontId="22" fillId="0" borderId="106" xfId="0" applyFont="1" applyFill="1" applyBorder="1" applyAlignment="1">
      <alignment vertical="center"/>
    </xf>
    <xf numFmtId="0" fontId="220" fillId="0" borderId="0" xfId="0" applyFont="1" applyBorder="1" applyAlignment="1">
      <alignment vertical="center"/>
    </xf>
    <xf numFmtId="0" fontId="221" fillId="0" borderId="0" xfId="0" applyFont="1" applyBorder="1" applyAlignment="1">
      <alignment vertical="center" wrapText="1"/>
    </xf>
    <xf numFmtId="0" fontId="110" fillId="0" borderId="21" xfId="0" applyFont="1" applyFill="1" applyBorder="1" applyAlignment="1">
      <alignment vertical="center"/>
    </xf>
    <xf numFmtId="0" fontId="109" fillId="0" borderId="28" xfId="0" applyFont="1" applyFill="1" applyBorder="1" applyAlignment="1">
      <alignment vertical="top" wrapText="1"/>
    </xf>
    <xf numFmtId="0" fontId="109" fillId="0" borderId="49" xfId="0" applyFont="1" applyFill="1" applyBorder="1" applyAlignment="1">
      <alignment vertical="top"/>
    </xf>
    <xf numFmtId="0" fontId="13" fillId="40" borderId="0" xfId="0" applyFont="1" applyFill="1" applyBorder="1" applyAlignment="1">
      <alignment wrapText="1"/>
    </xf>
    <xf numFmtId="0" fontId="13" fillId="0" borderId="0" xfId="0" applyFont="1" applyBorder="1" applyAlignment="1">
      <alignment wrapText="1"/>
    </xf>
    <xf numFmtId="0" fontId="0" fillId="0" borderId="8" xfId="0" applyBorder="1"/>
    <xf numFmtId="0" fontId="0" fillId="0" borderId="0" xfId="0"/>
    <xf numFmtId="0" fontId="57" fillId="0" borderId="8" xfId="0" applyFont="1" applyBorder="1" applyAlignment="1">
      <alignment horizontal="center"/>
    </xf>
    <xf numFmtId="0" fontId="21" fillId="40" borderId="0" xfId="0" applyFont="1" applyFill="1"/>
    <xf numFmtId="189" fontId="0" fillId="0" borderId="0" xfId="0" applyNumberFormat="1"/>
    <xf numFmtId="0" fontId="0" fillId="0" borderId="0" xfId="0" applyAlignment="1">
      <alignment wrapText="1"/>
    </xf>
    <xf numFmtId="2" fontId="21" fillId="0" borderId="8" xfId="0" applyNumberFormat="1" applyFont="1" applyBorder="1" applyAlignment="1">
      <alignment horizontal="center" vertical="center"/>
    </xf>
    <xf numFmtId="0" fontId="0" fillId="0" borderId="0" xfId="0"/>
    <xf numFmtId="0" fontId="239" fillId="0" borderId="56" xfId="0" applyFont="1" applyBorder="1" applyAlignment="1">
      <alignment horizontal="center"/>
    </xf>
    <xf numFmtId="0" fontId="239" fillId="0" borderId="66" xfId="0" applyFont="1" applyBorder="1" applyAlignment="1">
      <alignment horizontal="center"/>
    </xf>
    <xf numFmtId="0" fontId="239" fillId="0" borderId="63" xfId="0" applyFont="1" applyBorder="1" applyAlignment="1">
      <alignment horizontal="center"/>
    </xf>
    <xf numFmtId="0" fontId="241" fillId="0" borderId="168" xfId="0" applyFont="1" applyBorder="1" applyAlignment="1">
      <alignment horizontal="center" vertical="center" wrapText="1"/>
    </xf>
    <xf numFmtId="0" fontId="241" fillId="0" borderId="44" xfId="0" applyFont="1" applyBorder="1" applyAlignment="1">
      <alignment horizontal="left" vertical="center" wrapText="1"/>
    </xf>
    <xf numFmtId="0" fontId="241" fillId="0" borderId="154" xfId="0" applyFont="1" applyBorder="1" applyAlignment="1">
      <alignment horizontal="center" vertical="center" wrapText="1"/>
    </xf>
    <xf numFmtId="0" fontId="241" fillId="0" borderId="169" xfId="0" applyFont="1" applyBorder="1" applyAlignment="1">
      <alignment horizontal="center" vertical="center" wrapText="1"/>
    </xf>
    <xf numFmtId="0" fontId="241" fillId="0" borderId="0" xfId="0" applyFont="1" applyBorder="1" applyAlignment="1">
      <alignment horizontal="center" vertical="center" wrapText="1"/>
    </xf>
    <xf numFmtId="0" fontId="241" fillId="0" borderId="44" xfId="0" applyFont="1" applyBorder="1" applyAlignment="1">
      <alignment horizontal="center" vertical="center" wrapText="1"/>
    </xf>
    <xf numFmtId="0" fontId="0" fillId="0" borderId="44" xfId="0" applyBorder="1"/>
    <xf numFmtId="1" fontId="151" fillId="0" borderId="0" xfId="91" applyNumberFormat="1" applyFont="1" applyFill="1" applyBorder="1" applyAlignment="1">
      <alignment horizontal="center" vertical="top"/>
    </xf>
    <xf numFmtId="0" fontId="241" fillId="0" borderId="156" xfId="0" applyFont="1" applyBorder="1" applyAlignment="1">
      <alignment horizontal="center" vertical="center" wrapText="1"/>
    </xf>
    <xf numFmtId="0" fontId="241" fillId="0" borderId="170" xfId="0" applyFont="1" applyBorder="1" applyAlignment="1">
      <alignment horizontal="center" vertical="center" wrapText="1"/>
    </xf>
    <xf numFmtId="0" fontId="241" fillId="0" borderId="44" xfId="0" applyFont="1" applyFill="1" applyBorder="1" applyAlignment="1">
      <alignment horizontal="left" vertical="center" wrapText="1"/>
    </xf>
    <xf numFmtId="0" fontId="0" fillId="0" borderId="44" xfId="0" applyBorder="1" applyAlignment="1">
      <alignment horizontal="center"/>
    </xf>
    <xf numFmtId="0" fontId="241" fillId="0" borderId="155" xfId="0" applyFont="1" applyBorder="1" applyAlignment="1">
      <alignment horizontal="center" vertical="center" wrapText="1"/>
    </xf>
    <xf numFmtId="0" fontId="240" fillId="0" borderId="154" xfId="0" applyFont="1" applyBorder="1" applyAlignment="1">
      <alignment horizontal="center" vertical="center" wrapText="1"/>
    </xf>
    <xf numFmtId="0" fontId="242" fillId="0" borderId="18" xfId="0" applyFont="1" applyBorder="1"/>
    <xf numFmtId="0" fontId="242" fillId="0" borderId="0" xfId="0" applyFont="1" applyBorder="1"/>
    <xf numFmtId="0" fontId="242" fillId="0" borderId="15" xfId="0" applyFont="1" applyBorder="1"/>
    <xf numFmtId="0" fontId="241" fillId="0" borderId="172" xfId="0" applyFont="1" applyBorder="1" applyAlignment="1">
      <alignment horizontal="center" vertical="center" wrapText="1"/>
    </xf>
    <xf numFmtId="0" fontId="241" fillId="0" borderId="173" xfId="0" applyFont="1" applyBorder="1" applyAlignment="1">
      <alignment horizontal="center" vertical="center" wrapText="1"/>
    </xf>
    <xf numFmtId="0" fontId="241" fillId="0" borderId="174" xfId="0" applyFont="1" applyBorder="1" applyAlignment="1">
      <alignment horizontal="center" vertical="center" wrapText="1"/>
    </xf>
    <xf numFmtId="0" fontId="240" fillId="0" borderId="175" xfId="0" applyFont="1" applyBorder="1" applyAlignment="1">
      <alignment horizontal="left" vertical="center" wrapText="1" indent="1"/>
    </xf>
    <xf numFmtId="0" fontId="240" fillId="0" borderId="44" xfId="0" applyFont="1" applyBorder="1" applyAlignment="1">
      <alignment horizontal="center" vertical="center" wrapText="1"/>
    </xf>
    <xf numFmtId="0" fontId="240" fillId="0" borderId="175" xfId="0" applyFont="1" applyBorder="1" applyAlignment="1">
      <alignment horizontal="center" vertical="center" wrapText="1"/>
    </xf>
    <xf numFmtId="0" fontId="240" fillId="0" borderId="29" xfId="0" applyFont="1" applyBorder="1" applyAlignment="1">
      <alignment horizontal="center" vertical="center" wrapText="1"/>
    </xf>
    <xf numFmtId="0" fontId="244" fillId="0" borderId="0" xfId="0" applyFont="1"/>
    <xf numFmtId="0" fontId="240" fillId="0" borderId="140" xfId="0" applyFont="1" applyBorder="1" applyAlignment="1">
      <alignment horizontal="center" vertical="center" wrapText="1"/>
    </xf>
    <xf numFmtId="0" fontId="243" fillId="0" borderId="44" xfId="0" applyFont="1" applyBorder="1" applyAlignment="1">
      <alignment horizontal="center"/>
    </xf>
    <xf numFmtId="0" fontId="241" fillId="0" borderId="178" xfId="0" applyFont="1" applyBorder="1" applyAlignment="1">
      <alignment horizontal="center" vertical="center" wrapText="1"/>
    </xf>
    <xf numFmtId="0" fontId="241" fillId="0" borderId="153" xfId="0" applyFont="1" applyBorder="1" applyAlignment="1">
      <alignment horizontal="left" vertical="center" wrapText="1"/>
    </xf>
    <xf numFmtId="0" fontId="241" fillId="0" borderId="153" xfId="0" applyFont="1" applyBorder="1" applyAlignment="1">
      <alignment horizontal="center" vertical="center" wrapText="1"/>
    </xf>
    <xf numFmtId="0" fontId="241" fillId="0" borderId="153" xfId="0" applyFont="1" applyBorder="1" applyAlignment="1">
      <alignment horizontal="justify" vertical="center" wrapText="1"/>
    </xf>
    <xf numFmtId="180" fontId="241" fillId="0" borderId="153" xfId="0" applyNumberFormat="1" applyFont="1" applyBorder="1" applyAlignment="1">
      <alignment horizontal="center" vertical="center" wrapText="1"/>
    </xf>
    <xf numFmtId="0" fontId="241" fillId="0" borderId="158" xfId="0" applyFont="1" applyBorder="1" applyAlignment="1">
      <alignment horizontal="center" vertical="center" wrapText="1"/>
    </xf>
    <xf numFmtId="0" fontId="241" fillId="0" borderId="154" xfId="0" applyFont="1" applyBorder="1" applyAlignment="1">
      <alignment horizontal="left" vertical="center" wrapText="1"/>
    </xf>
    <xf numFmtId="0" fontId="241" fillId="0" borderId="154" xfId="0" applyFont="1" applyBorder="1" applyAlignment="1">
      <alignment horizontal="justify" vertical="center" wrapText="1"/>
    </xf>
    <xf numFmtId="0" fontId="240" fillId="0" borderId="170" xfId="0" applyFont="1" applyBorder="1" applyAlignment="1">
      <alignment horizontal="center" vertical="center" wrapText="1"/>
    </xf>
    <xf numFmtId="180" fontId="241" fillId="0" borderId="44" xfId="0" applyNumberFormat="1" applyFont="1" applyBorder="1" applyAlignment="1">
      <alignment horizontal="center" vertical="center" wrapText="1"/>
    </xf>
    <xf numFmtId="0" fontId="243" fillId="0" borderId="0" xfId="0" applyFont="1"/>
    <xf numFmtId="0" fontId="245" fillId="0" borderId="0" xfId="0" applyFont="1"/>
    <xf numFmtId="0" fontId="240" fillId="0" borderId="155" xfId="0" applyFont="1" applyBorder="1" applyAlignment="1">
      <alignment horizontal="center" vertical="center" wrapText="1"/>
    </xf>
    <xf numFmtId="0" fontId="240" fillId="0" borderId="3" xfId="0" applyFont="1" applyBorder="1" applyAlignment="1">
      <alignment horizontal="center" vertical="center" wrapText="1"/>
    </xf>
    <xf numFmtId="0" fontId="240" fillId="0" borderId="185" xfId="0" applyFont="1" applyBorder="1" applyAlignment="1">
      <alignment horizontal="center" vertical="center" wrapText="1"/>
    </xf>
    <xf numFmtId="0" fontId="246" fillId="0" borderId="0" xfId="0" applyFont="1"/>
    <xf numFmtId="0" fontId="247" fillId="0" borderId="154" xfId="0" applyFont="1" applyBorder="1" applyAlignment="1">
      <alignment horizontal="left" vertical="center" wrapText="1"/>
    </xf>
    <xf numFmtId="0" fontId="247" fillId="0" borderId="170" xfId="0" applyFont="1" applyBorder="1" applyAlignment="1">
      <alignment horizontal="left" vertical="center" wrapText="1"/>
    </xf>
    <xf numFmtId="0" fontId="247" fillId="0" borderId="154" xfId="0" applyFont="1" applyBorder="1" applyAlignment="1">
      <alignment horizontal="center" vertical="center" wrapText="1"/>
    </xf>
    <xf numFmtId="0" fontId="247" fillId="0" borderId="170" xfId="0" applyFont="1" applyBorder="1" applyAlignment="1">
      <alignment horizontal="center" vertical="center" wrapText="1"/>
    </xf>
    <xf numFmtId="0" fontId="245" fillId="0" borderId="185" xfId="0" applyFont="1" applyBorder="1" applyAlignment="1">
      <alignment horizontal="center" vertical="center" wrapText="1"/>
    </xf>
    <xf numFmtId="0" fontId="245" fillId="0" borderId="194" xfId="0" applyFont="1" applyBorder="1" applyAlignment="1">
      <alignment horizontal="center" vertical="center" wrapText="1"/>
    </xf>
    <xf numFmtId="0" fontId="142" fillId="0" borderId="0" xfId="0" applyFont="1" applyBorder="1" applyProtection="1">
      <protection locked="0"/>
    </xf>
    <xf numFmtId="0" fontId="21" fillId="0" borderId="0" xfId="0" applyFont="1" applyBorder="1" applyProtection="1">
      <protection locked="0"/>
    </xf>
    <xf numFmtId="17" fontId="0" fillId="0" borderId="0" xfId="0" applyNumberFormat="1" applyBorder="1" applyProtection="1">
      <protection locked="0"/>
    </xf>
    <xf numFmtId="0" fontId="228" fillId="0" borderId="0" xfId="0" applyFont="1" applyFill="1" applyBorder="1" applyAlignment="1">
      <alignment horizontal="left"/>
    </xf>
    <xf numFmtId="1" fontId="13" fillId="0" borderId="0" xfId="0" applyNumberFormat="1" applyFont="1"/>
    <xf numFmtId="0" fontId="181" fillId="0" borderId="0" xfId="0" applyFont="1" applyBorder="1" applyAlignment="1">
      <alignment horizontal="center" vertical="center" wrapText="1"/>
    </xf>
    <xf numFmtId="0" fontId="181" fillId="0" borderId="0" xfId="0" applyFont="1" applyFill="1" applyBorder="1" applyAlignment="1">
      <alignment horizontal="center" vertical="center" wrapText="1"/>
    </xf>
    <xf numFmtId="0" fontId="142" fillId="0" borderId="8" xfId="0" applyNumberFormat="1" applyFont="1" applyBorder="1" applyAlignment="1">
      <alignment horizontal="center"/>
    </xf>
    <xf numFmtId="1" fontId="75" fillId="0" borderId="8" xfId="0" applyNumberFormat="1" applyFont="1" applyFill="1" applyBorder="1"/>
    <xf numFmtId="1" fontId="57" fillId="0" borderId="8" xfId="0" applyNumberFormat="1" applyFont="1" applyFill="1" applyBorder="1"/>
    <xf numFmtId="17" fontId="21" fillId="0" borderId="30" xfId="0" applyNumberFormat="1" applyFont="1" applyBorder="1" applyAlignment="1">
      <alignment vertical="center"/>
    </xf>
    <xf numFmtId="0" fontId="21" fillId="0" borderId="21" xfId="0" quotePrefix="1" applyFont="1" applyBorder="1" applyAlignment="1">
      <alignment vertical="center"/>
    </xf>
    <xf numFmtId="0" fontId="21" fillId="0" borderId="30" xfId="0" quotePrefix="1" applyFont="1" applyBorder="1" applyAlignment="1"/>
    <xf numFmtId="0" fontId="21" fillId="0" borderId="21" xfId="0" quotePrefix="1" applyFont="1" applyBorder="1" applyAlignment="1"/>
    <xf numFmtId="0" fontId="21" fillId="0" borderId="30" xfId="0" applyFont="1" applyBorder="1" applyAlignment="1"/>
    <xf numFmtId="0" fontId="21" fillId="0" borderId="21" xfId="0" applyFont="1" applyBorder="1" applyAlignment="1"/>
    <xf numFmtId="1" fontId="21" fillId="0" borderId="30" xfId="0" applyNumberFormat="1" applyFont="1" applyBorder="1" applyAlignment="1"/>
    <xf numFmtId="0" fontId="21" fillId="0" borderId="30" xfId="0" applyNumberFormat="1" applyFont="1" applyBorder="1" applyAlignment="1">
      <alignment vertical="center"/>
    </xf>
    <xf numFmtId="0" fontId="21" fillId="0" borderId="21" xfId="0" applyNumberFormat="1" applyFont="1" applyBorder="1" applyAlignment="1">
      <alignment vertical="center"/>
    </xf>
    <xf numFmtId="1" fontId="21" fillId="0" borderId="30" xfId="0" applyNumberFormat="1" applyFont="1" applyBorder="1" applyAlignment="1">
      <alignment vertical="center"/>
    </xf>
    <xf numFmtId="0" fontId="236" fillId="0" borderId="0" xfId="0" applyFont="1" applyAlignment="1"/>
    <xf numFmtId="0" fontId="237" fillId="0" borderId="160" xfId="0" applyFont="1" applyBorder="1" applyAlignment="1">
      <alignment vertical="center" wrapText="1"/>
    </xf>
    <xf numFmtId="0" fontId="237" fillId="0" borderId="161" xfId="0" applyFont="1" applyBorder="1" applyAlignment="1">
      <alignment vertical="center" wrapText="1"/>
    </xf>
    <xf numFmtId="0" fontId="237" fillId="0" borderId="162" xfId="0" applyFont="1" applyBorder="1" applyAlignment="1">
      <alignment vertical="center" wrapText="1"/>
    </xf>
    <xf numFmtId="0" fontId="238" fillId="0" borderId="75" xfId="0" applyFont="1" applyBorder="1" applyAlignment="1">
      <alignment vertical="center"/>
    </xf>
    <xf numFmtId="0" fontId="239" fillId="0" borderId="58" xfId="0" applyFont="1" applyBorder="1" applyAlignment="1"/>
    <xf numFmtId="0" fontId="239" fillId="0" borderId="3" xfId="0" applyFont="1" applyBorder="1" applyAlignment="1"/>
    <xf numFmtId="0" fontId="239" fillId="0" borderId="61" xfId="0" applyFont="1" applyBorder="1" applyAlignment="1"/>
    <xf numFmtId="0" fontId="237" fillId="0" borderId="163" xfId="0" applyFont="1" applyBorder="1" applyAlignment="1">
      <alignment vertical="center" wrapText="1"/>
    </xf>
    <xf numFmtId="0" fontId="237" fillId="0" borderId="164" xfId="0" applyFont="1" applyBorder="1" applyAlignment="1">
      <alignment vertical="center" wrapText="1"/>
    </xf>
    <xf numFmtId="0" fontId="237" fillId="0" borderId="165" xfId="0" applyFont="1" applyBorder="1" applyAlignment="1">
      <alignment vertical="center" wrapText="1"/>
    </xf>
    <xf numFmtId="0" fontId="238" fillId="0" borderId="76" xfId="0" applyFont="1" applyBorder="1" applyAlignment="1">
      <alignment vertical="center"/>
    </xf>
    <xf numFmtId="0" fontId="240" fillId="0" borderId="83" xfId="0" applyFont="1" applyBorder="1" applyAlignment="1">
      <alignment vertical="center" wrapText="1"/>
    </xf>
    <xf numFmtId="0" fontId="240" fillId="0" borderId="33" xfId="0" applyFont="1" applyBorder="1" applyAlignment="1">
      <alignment vertical="center" wrapText="1"/>
    </xf>
    <xf numFmtId="0" fontId="240" fillId="0" borderId="37" xfId="0" applyFont="1" applyBorder="1" applyAlignment="1">
      <alignment vertical="center" wrapText="1"/>
    </xf>
    <xf numFmtId="0" fontId="240" fillId="0" borderId="166" xfId="0" applyFont="1" applyBorder="1" applyAlignment="1">
      <alignment vertical="center" wrapText="1"/>
    </xf>
    <xf numFmtId="0" fontId="240" fillId="0" borderId="22" xfId="0" applyFont="1" applyBorder="1" applyAlignment="1">
      <alignment vertical="center" wrapText="1"/>
    </xf>
    <xf numFmtId="0" fontId="240" fillId="0" borderId="140" xfId="0" applyFont="1" applyBorder="1" applyAlignment="1">
      <alignment vertical="center" wrapText="1"/>
    </xf>
    <xf numFmtId="0" fontId="240" fillId="0" borderId="167" xfId="0" applyFont="1" applyBorder="1" applyAlignment="1">
      <alignment vertical="center" wrapText="1"/>
    </xf>
    <xf numFmtId="0" fontId="240" fillId="0" borderId="171" xfId="0" applyFont="1" applyBorder="1" applyAlignment="1">
      <alignment vertical="center" wrapText="1"/>
    </xf>
    <xf numFmtId="0" fontId="240" fillId="0" borderId="156" xfId="0" applyFont="1" applyBorder="1" applyAlignment="1">
      <alignment vertical="center" wrapText="1"/>
    </xf>
    <xf numFmtId="0" fontId="240" fillId="0" borderId="153" xfId="0" applyFont="1" applyBorder="1" applyAlignment="1">
      <alignment vertical="center" wrapText="1"/>
    </xf>
    <xf numFmtId="0" fontId="240" fillId="0" borderId="157" xfId="0" applyFont="1" applyBorder="1" applyAlignment="1">
      <alignment vertical="center" wrapText="1"/>
    </xf>
    <xf numFmtId="0" fontId="240" fillId="0" borderId="158" xfId="0" applyFont="1" applyBorder="1" applyAlignment="1">
      <alignment vertical="center" wrapText="1"/>
    </xf>
    <xf numFmtId="0" fontId="240" fillId="0" borderId="58" xfId="0" applyFont="1" applyBorder="1" applyAlignment="1">
      <alignment vertical="center" wrapText="1"/>
    </xf>
    <xf numFmtId="0" fontId="240" fillId="0" borderId="3" xfId="0" applyFont="1" applyBorder="1" applyAlignment="1">
      <alignment vertical="center" wrapText="1"/>
    </xf>
    <xf numFmtId="0" fontId="240" fillId="0" borderId="173" xfId="0" applyFont="1" applyBorder="1" applyAlignment="1">
      <alignment vertical="center" wrapText="1"/>
    </xf>
    <xf numFmtId="0" fontId="243" fillId="0" borderId="176" xfId="0" applyFont="1" applyBorder="1" applyAlignment="1"/>
    <xf numFmtId="0" fontId="243" fillId="0" borderId="17" xfId="0" applyFont="1" applyBorder="1" applyAlignment="1"/>
    <xf numFmtId="0" fontId="243" fillId="0" borderId="29" xfId="0" applyFont="1" applyBorder="1" applyAlignment="1"/>
    <xf numFmtId="0" fontId="240" fillId="0" borderId="61" xfId="0" applyFont="1" applyBorder="1" applyAlignment="1">
      <alignment vertical="center" wrapText="1"/>
    </xf>
    <xf numFmtId="0" fontId="243" fillId="0" borderId="58" xfId="0" applyFont="1" applyBorder="1" applyAlignment="1"/>
    <xf numFmtId="0" fontId="243" fillId="0" borderId="3" xfId="0" applyFont="1" applyBorder="1" applyAlignment="1"/>
    <xf numFmtId="0" fontId="243" fillId="0" borderId="61" xfId="0" applyFont="1" applyBorder="1" applyAlignment="1"/>
    <xf numFmtId="0" fontId="240" fillId="0" borderId="84" xfId="0" applyFont="1" applyBorder="1" applyAlignment="1">
      <alignment vertical="center" wrapText="1"/>
    </xf>
    <xf numFmtId="0" fontId="240" fillId="0" borderId="85" xfId="0" applyFont="1" applyBorder="1" applyAlignment="1">
      <alignment vertical="center" wrapText="1"/>
    </xf>
    <xf numFmtId="0" fontId="240" fillId="0" borderId="177" xfId="0" applyFont="1" applyBorder="1" applyAlignment="1">
      <alignment vertical="center" wrapText="1"/>
    </xf>
    <xf numFmtId="0" fontId="240" fillId="0" borderId="64" xfId="0" applyFont="1" applyBorder="1" applyAlignment="1">
      <alignment vertical="center" wrapText="1"/>
    </xf>
    <xf numFmtId="0" fontId="240" fillId="0" borderId="65" xfId="0" applyFont="1" applyBorder="1" applyAlignment="1">
      <alignment vertical="center" wrapText="1"/>
    </xf>
    <xf numFmtId="0" fontId="240" fillId="0" borderId="172" xfId="0" applyFont="1" applyBorder="1" applyAlignment="1">
      <alignment vertical="center" wrapText="1"/>
    </xf>
    <xf numFmtId="0" fontId="240" fillId="0" borderId="159" xfId="0" applyFont="1" applyBorder="1" applyAlignment="1">
      <alignment vertical="center" wrapText="1"/>
    </xf>
    <xf numFmtId="0" fontId="240" fillId="0" borderId="179" xfId="0" applyFont="1" applyBorder="1" applyAlignment="1">
      <alignment vertical="center" wrapText="1"/>
    </xf>
    <xf numFmtId="0" fontId="240" fillId="0" borderId="180" xfId="0" applyFont="1" applyBorder="1" applyAlignment="1">
      <alignment vertical="center" wrapText="1"/>
    </xf>
    <xf numFmtId="0" fontId="240" fillId="0" borderId="181" xfId="0" applyFont="1" applyBorder="1" applyAlignment="1">
      <alignment vertical="center" wrapText="1"/>
    </xf>
    <xf numFmtId="0" fontId="240" fillId="0" borderId="182" xfId="0" applyFont="1" applyBorder="1" applyAlignment="1">
      <alignment vertical="center" wrapText="1"/>
    </xf>
    <xf numFmtId="0" fontId="240" fillId="0" borderId="183" xfId="0" applyFont="1" applyBorder="1" applyAlignment="1">
      <alignment vertical="center" wrapText="1"/>
    </xf>
    <xf numFmtId="0" fontId="240" fillId="0" borderId="184" xfId="0" applyFont="1" applyBorder="1" applyAlignment="1">
      <alignment vertical="center" wrapText="1"/>
    </xf>
    <xf numFmtId="0" fontId="240" fillId="0" borderId="58" xfId="0" applyFont="1" applyBorder="1" applyAlignment="1">
      <alignment vertical="top" wrapText="1"/>
    </xf>
    <xf numFmtId="0" fontId="240" fillId="0" borderId="3" xfId="0" applyFont="1" applyBorder="1" applyAlignment="1">
      <alignment vertical="top" wrapText="1"/>
    </xf>
    <xf numFmtId="0" fontId="240" fillId="0" borderId="61" xfId="0" applyFont="1" applyBorder="1" applyAlignment="1">
      <alignment vertical="top" wrapText="1"/>
    </xf>
    <xf numFmtId="0" fontId="245" fillId="0" borderId="186" xfId="0" applyFont="1" applyBorder="1" applyAlignment="1">
      <alignment vertical="center" wrapText="1"/>
    </xf>
    <xf numFmtId="0" fontId="245" fillId="0" borderId="187" xfId="0" applyFont="1" applyBorder="1" applyAlignment="1">
      <alignment vertical="center" wrapText="1"/>
    </xf>
    <xf numFmtId="0" fontId="245" fillId="0" borderId="188" xfId="0" applyFont="1" applyBorder="1" applyAlignment="1">
      <alignment vertical="center" wrapText="1"/>
    </xf>
    <xf numFmtId="0" fontId="245" fillId="0" borderId="189" xfId="0" applyFont="1" applyBorder="1" applyAlignment="1">
      <alignment vertical="center" wrapText="1"/>
    </xf>
    <xf numFmtId="0" fontId="245" fillId="0" borderId="171" xfId="0" applyFont="1" applyBorder="1" applyAlignment="1">
      <alignment vertical="center" wrapText="1"/>
    </xf>
    <xf numFmtId="0" fontId="245" fillId="0" borderId="158" xfId="0" applyFont="1" applyBorder="1" applyAlignment="1">
      <alignment vertical="center" wrapText="1"/>
    </xf>
    <xf numFmtId="0" fontId="245" fillId="0" borderId="180" xfId="0" applyFont="1" applyBorder="1" applyAlignment="1">
      <alignment vertical="center" wrapText="1"/>
    </xf>
    <xf numFmtId="0" fontId="247" fillId="0" borderId="171" xfId="0" applyFont="1" applyBorder="1" applyAlignment="1">
      <alignment vertical="center" wrapText="1"/>
    </xf>
    <xf numFmtId="0" fontId="247" fillId="0" borderId="158" xfId="0" applyFont="1" applyBorder="1" applyAlignment="1">
      <alignment vertical="center" wrapText="1"/>
    </xf>
    <xf numFmtId="0" fontId="247" fillId="0" borderId="153" xfId="0" applyFont="1" applyBorder="1" applyAlignment="1">
      <alignment vertical="center" wrapText="1"/>
    </xf>
    <xf numFmtId="0" fontId="247" fillId="0" borderId="157" xfId="0" applyFont="1" applyBorder="1" applyAlignment="1">
      <alignment vertical="center" wrapText="1"/>
    </xf>
    <xf numFmtId="0" fontId="245" fillId="0" borderId="190" xfId="0" applyFont="1" applyBorder="1" applyAlignment="1">
      <alignment vertical="center" wrapText="1"/>
    </xf>
    <xf numFmtId="0" fontId="245" fillId="0" borderId="191" xfId="0" applyFont="1" applyBorder="1" applyAlignment="1">
      <alignment vertical="center" wrapText="1"/>
    </xf>
    <xf numFmtId="0" fontId="245" fillId="0" borderId="192" xfId="0" applyFont="1" applyBorder="1" applyAlignment="1">
      <alignment vertical="center" wrapText="1"/>
    </xf>
    <xf numFmtId="0" fontId="245" fillId="0" borderId="193" xfId="0" applyFont="1" applyBorder="1" applyAlignment="1">
      <alignment vertical="center" wrapText="1"/>
    </xf>
    <xf numFmtId="0" fontId="240" fillId="0" borderId="195" xfId="0" applyFont="1" applyBorder="1" applyAlignment="1">
      <alignment vertical="center" wrapText="1"/>
    </xf>
    <xf numFmtId="0" fontId="240" fillId="0" borderId="196" xfId="0" applyFont="1" applyBorder="1" applyAlignment="1">
      <alignment vertical="center" wrapText="1"/>
    </xf>
    <xf numFmtId="0" fontId="240" fillId="0" borderId="197" xfId="0" applyFont="1" applyBorder="1" applyAlignment="1">
      <alignment vertical="center" wrapText="1"/>
    </xf>
    <xf numFmtId="0" fontId="240" fillId="0" borderId="198" xfId="0" applyFont="1" applyBorder="1" applyAlignment="1">
      <alignment vertical="center" wrapText="1"/>
    </xf>
    <xf numFmtId="14" fontId="146" fillId="0" borderId="0" xfId="58" applyNumberFormat="1" applyFont="1"/>
    <xf numFmtId="14" fontId="146" fillId="41" borderId="0" xfId="58" applyNumberFormat="1" applyFont="1" applyFill="1"/>
    <xf numFmtId="2" fontId="186" fillId="0" borderId="0" xfId="0" applyNumberFormat="1" applyFont="1" applyFill="1" applyBorder="1" applyAlignment="1">
      <alignment horizontal="right" vertical="top" shrinkToFit="1"/>
    </xf>
    <xf numFmtId="0" fontId="13" fillId="0" borderId="0" xfId="0" applyFont="1" applyBorder="1" applyAlignment="1">
      <alignment horizontal="center" vertical="center" wrapText="1"/>
    </xf>
    <xf numFmtId="1" fontId="13" fillId="0" borderId="8" xfId="0" applyNumberFormat="1" applyFont="1" applyBorder="1" applyAlignment="1">
      <alignment horizontal="left" vertical="center" wrapText="1"/>
    </xf>
    <xf numFmtId="9" fontId="13" fillId="0" borderId="8" xfId="78" applyFont="1" applyBorder="1" applyAlignment="1">
      <alignment horizontal="left" vertical="center"/>
    </xf>
    <xf numFmtId="9" fontId="13" fillId="0" borderId="8" xfId="78" applyFont="1" applyFill="1" applyBorder="1" applyAlignment="1">
      <alignment horizontal="left" vertical="center"/>
    </xf>
    <xf numFmtId="9" fontId="13" fillId="0" borderId="8" xfId="78" applyFont="1" applyBorder="1" applyAlignment="1">
      <alignment horizontal="left" vertical="center" wrapText="1"/>
    </xf>
    <xf numFmtId="2" fontId="13" fillId="0" borderId="8" xfId="78" applyNumberFormat="1" applyFont="1" applyBorder="1" applyAlignment="1">
      <alignment horizontal="left" vertical="center"/>
    </xf>
    <xf numFmtId="0" fontId="13" fillId="0" borderId="8" xfId="0" applyFont="1" applyFill="1" applyBorder="1" applyAlignment="1">
      <alignment horizontal="left" vertical="center" wrapText="1"/>
    </xf>
    <xf numFmtId="2" fontId="13" fillId="0" borderId="8" xfId="0" applyNumberFormat="1" applyFont="1" applyFill="1" applyBorder="1" applyAlignment="1">
      <alignment horizontal="left" vertical="center"/>
    </xf>
    <xf numFmtId="2" fontId="13" fillId="0" borderId="8" xfId="0" applyNumberFormat="1" applyFont="1" applyFill="1" applyBorder="1" applyAlignment="1">
      <alignment horizontal="left" vertical="center" wrapText="1"/>
    </xf>
    <xf numFmtId="9" fontId="13" fillId="41" borderId="8" xfId="78" applyFont="1" applyFill="1" applyBorder="1" applyAlignment="1">
      <alignment horizontal="left" vertical="center"/>
    </xf>
    <xf numFmtId="0" fontId="13" fillId="41" borderId="8" xfId="0" applyFont="1" applyFill="1" applyBorder="1" applyAlignment="1">
      <alignment horizontal="left" vertical="center"/>
    </xf>
    <xf numFmtId="2" fontId="13" fillId="41" borderId="8" xfId="0" applyNumberFormat="1" applyFont="1" applyFill="1" applyBorder="1" applyAlignment="1">
      <alignment horizontal="left" vertical="center"/>
    </xf>
    <xf numFmtId="9" fontId="13" fillId="0" borderId="8" xfId="0" applyNumberFormat="1" applyFont="1" applyBorder="1" applyAlignment="1">
      <alignment horizontal="left" vertical="center"/>
    </xf>
    <xf numFmtId="2" fontId="13" fillId="0" borderId="8" xfId="78" applyNumberFormat="1" applyFont="1" applyFill="1" applyBorder="1" applyAlignment="1">
      <alignment horizontal="left" vertical="center"/>
    </xf>
    <xf numFmtId="2" fontId="13" fillId="41" borderId="8" xfId="0" applyNumberFormat="1" applyFont="1" applyFill="1" applyBorder="1" applyAlignment="1">
      <alignment horizontal="left" vertical="center" wrapText="1"/>
    </xf>
    <xf numFmtId="9" fontId="13" fillId="0" borderId="8" xfId="0" applyNumberFormat="1" applyFont="1" applyFill="1" applyBorder="1" applyAlignment="1">
      <alignment horizontal="left" vertical="center"/>
    </xf>
    <xf numFmtId="9" fontId="13" fillId="41" borderId="8" xfId="0" applyNumberFormat="1" applyFont="1" applyFill="1" applyBorder="1" applyAlignment="1">
      <alignment horizontal="left" vertical="center"/>
    </xf>
    <xf numFmtId="0" fontId="13" fillId="42" borderId="8" xfId="0" applyFont="1" applyFill="1" applyBorder="1" applyAlignment="1">
      <alignment horizontal="left" vertical="center" wrapText="1"/>
    </xf>
    <xf numFmtId="2" fontId="13" fillId="42" borderId="8" xfId="0" applyNumberFormat="1" applyFont="1" applyFill="1" applyBorder="1" applyAlignment="1">
      <alignment horizontal="left" vertical="center" wrapText="1"/>
    </xf>
    <xf numFmtId="9" fontId="13" fillId="40" borderId="8" xfId="0" applyNumberFormat="1" applyFont="1" applyFill="1" applyBorder="1" applyAlignment="1">
      <alignment horizontal="left" vertical="center"/>
    </xf>
    <xf numFmtId="0" fontId="13" fillId="40" borderId="8" xfId="0" applyFont="1" applyFill="1" applyBorder="1" applyAlignment="1">
      <alignment horizontal="left" vertical="center" wrapText="1"/>
    </xf>
    <xf numFmtId="164" fontId="13" fillId="41" borderId="8" xfId="0" applyNumberFormat="1" applyFont="1" applyFill="1" applyBorder="1" applyAlignment="1">
      <alignment horizontal="left" vertical="center" wrapText="1"/>
    </xf>
    <xf numFmtId="0" fontId="13" fillId="0" borderId="0" xfId="0" applyFont="1" applyBorder="1" applyAlignment="1">
      <alignment vertical="center" wrapText="1"/>
    </xf>
    <xf numFmtId="2" fontId="13" fillId="0" borderId="0" xfId="0" applyNumberFormat="1" applyFont="1" applyBorder="1" applyAlignment="1">
      <alignment horizontal="right" vertical="center" wrapText="1"/>
    </xf>
    <xf numFmtId="2" fontId="13" fillId="0" borderId="0" xfId="0" applyNumberFormat="1" applyFont="1" applyBorder="1" applyAlignment="1">
      <alignment horizontal="right" vertical="top" wrapText="1"/>
    </xf>
    <xf numFmtId="0" fontId="142" fillId="0" borderId="0" xfId="0" applyFont="1" applyBorder="1" applyAlignment="1">
      <alignment horizontal="center" vertical="center" wrapText="1"/>
    </xf>
    <xf numFmtId="2" fontId="142" fillId="0" borderId="0" xfId="0" applyNumberFormat="1" applyFont="1" applyBorder="1" applyAlignment="1">
      <alignment horizontal="right" vertical="center" wrapText="1"/>
    </xf>
    <xf numFmtId="2" fontId="142" fillId="0" borderId="0" xfId="0" applyNumberFormat="1" applyFont="1" applyBorder="1" applyAlignment="1">
      <alignment horizontal="right" vertical="top" wrapText="1"/>
    </xf>
    <xf numFmtId="0" fontId="171" fillId="0" borderId="0" xfId="0" applyFont="1" applyBorder="1" applyAlignment="1">
      <alignment horizontal="center" vertical="top" wrapText="1"/>
    </xf>
    <xf numFmtId="2" fontId="142" fillId="0" borderId="0" xfId="0" applyNumberFormat="1" applyFont="1" applyBorder="1" applyAlignment="1">
      <alignment vertical="center" wrapText="1"/>
    </xf>
    <xf numFmtId="0" fontId="13" fillId="41" borderId="0" xfId="0" applyFont="1" applyFill="1" applyBorder="1" applyAlignment="1">
      <alignment vertical="center" wrapText="1"/>
    </xf>
    <xf numFmtId="0" fontId="13" fillId="41" borderId="0" xfId="0" applyFont="1" applyFill="1" applyBorder="1" applyAlignment="1">
      <alignment horizontal="center" vertical="center" wrapText="1"/>
    </xf>
    <xf numFmtId="2" fontId="13" fillId="41" borderId="0" xfId="0" applyNumberFormat="1" applyFont="1" applyFill="1" applyBorder="1" applyAlignment="1">
      <alignment horizontal="right" vertical="center" wrapText="1"/>
    </xf>
    <xf numFmtId="2" fontId="13" fillId="41" borderId="0" xfId="0" applyNumberFormat="1" applyFont="1" applyFill="1" applyBorder="1" applyAlignment="1">
      <alignment horizontal="right" vertical="top" wrapText="1"/>
    </xf>
    <xf numFmtId="0" fontId="151" fillId="0" borderId="0" xfId="0" applyFont="1" applyBorder="1" applyAlignment="1">
      <alignment vertical="center" wrapText="1"/>
    </xf>
    <xf numFmtId="0" fontId="151" fillId="0" borderId="0" xfId="0" applyFont="1" applyBorder="1" applyAlignment="1">
      <alignment horizontal="center" vertical="center" wrapText="1"/>
    </xf>
    <xf numFmtId="2" fontId="151" fillId="0" borderId="0" xfId="0" applyNumberFormat="1" applyFont="1" applyBorder="1" applyAlignment="1">
      <alignment horizontal="right" vertical="center" wrapText="1"/>
    </xf>
    <xf numFmtId="2" fontId="151" fillId="0" borderId="0" xfId="0" applyNumberFormat="1" applyFont="1" applyFill="1" applyBorder="1" applyAlignment="1">
      <alignment horizontal="right" vertical="center" wrapText="1"/>
    </xf>
    <xf numFmtId="2" fontId="151" fillId="0" borderId="0" xfId="0" applyNumberFormat="1" applyFont="1" applyBorder="1" applyAlignment="1">
      <alignment horizontal="right" vertical="top" wrapText="1"/>
    </xf>
    <xf numFmtId="2" fontId="13" fillId="0" borderId="0" xfId="0" applyNumberFormat="1" applyFont="1" applyBorder="1" applyAlignment="1">
      <alignment vertical="center" wrapText="1"/>
    </xf>
    <xf numFmtId="2" fontId="13" fillId="0" borderId="0" xfId="0" applyNumberFormat="1" applyFont="1" applyBorder="1" applyAlignment="1">
      <alignment horizontal="right"/>
    </xf>
    <xf numFmtId="0" fontId="142" fillId="0" borderId="0" xfId="0" applyFont="1" applyBorder="1" applyAlignment="1"/>
    <xf numFmtId="0" fontId="171" fillId="0" borderId="0" xfId="0" applyFont="1" applyBorder="1" applyAlignment="1"/>
    <xf numFmtId="2" fontId="142" fillId="0" borderId="0" xfId="0" applyNumberFormat="1" applyFont="1" applyBorder="1" applyAlignment="1"/>
    <xf numFmtId="0" fontId="0" fillId="0" borderId="0" xfId="0"/>
    <xf numFmtId="0" fontId="56" fillId="0" borderId="0" xfId="72" applyFont="1" applyBorder="1" applyAlignment="1">
      <alignment horizontal="left" vertical="center"/>
    </xf>
    <xf numFmtId="0" fontId="133" fillId="0" borderId="58" xfId="69" applyFont="1" applyFill="1" applyBorder="1" applyAlignment="1">
      <alignment vertical="center"/>
    </xf>
    <xf numFmtId="0" fontId="133" fillId="0" borderId="3" xfId="69" applyFont="1" applyFill="1" applyBorder="1" applyAlignment="1">
      <alignment vertical="center"/>
    </xf>
    <xf numFmtId="0" fontId="110" fillId="0" borderId="75" xfId="69" applyFont="1" applyFill="1" applyBorder="1" applyAlignment="1">
      <alignment vertical="center" wrapText="1"/>
    </xf>
    <xf numFmtId="0" fontId="110" fillId="0" borderId="58" xfId="69" applyFont="1" applyFill="1" applyBorder="1" applyAlignment="1">
      <alignment vertical="center"/>
    </xf>
    <xf numFmtId="0" fontId="110" fillId="0" borderId="61" xfId="69" applyFont="1" applyFill="1" applyBorder="1" applyAlignment="1">
      <alignment vertical="center"/>
    </xf>
    <xf numFmtId="0" fontId="110" fillId="0" borderId="76" xfId="69" applyFont="1" applyFill="1" applyBorder="1" applyAlignment="1">
      <alignment vertical="center" wrapText="1"/>
    </xf>
    <xf numFmtId="0" fontId="18" fillId="0" borderId="19" xfId="69" applyFont="1" applyFill="1" applyBorder="1" applyAlignment="1">
      <alignment vertical="center" wrapText="1"/>
    </xf>
    <xf numFmtId="0" fontId="18" fillId="0" borderId="17" xfId="69" applyFont="1" applyFill="1" applyBorder="1" applyAlignment="1">
      <alignment vertical="center" wrapText="1"/>
    </xf>
    <xf numFmtId="0" fontId="18" fillId="0" borderId="29" xfId="69" applyFont="1" applyFill="1" applyBorder="1" applyAlignment="1">
      <alignment vertical="center" wrapText="1"/>
    </xf>
    <xf numFmtId="0" fontId="239" fillId="0" borderId="0" xfId="0" applyFont="1" applyFill="1" applyBorder="1" applyAlignment="1">
      <alignment horizontal="left"/>
    </xf>
    <xf numFmtId="0" fontId="241" fillId="0" borderId="0" xfId="0" applyFont="1" applyFill="1" applyBorder="1" applyAlignment="1">
      <alignment horizontal="center" vertical="center" wrapText="1"/>
    </xf>
    <xf numFmtId="0" fontId="13" fillId="0" borderId="8" xfId="0" applyNumberFormat="1" applyFont="1" applyBorder="1" applyAlignment="1">
      <alignment horizontal="center"/>
    </xf>
    <xf numFmtId="3" fontId="22" fillId="0" borderId="0" xfId="0" applyNumberFormat="1" applyFont="1" applyBorder="1" applyAlignment="1">
      <alignment horizontal="center" vertical="center"/>
    </xf>
    <xf numFmtId="0" fontId="110" fillId="0" borderId="199" xfId="0" applyFont="1" applyFill="1" applyBorder="1" applyAlignment="1">
      <alignment vertical="center"/>
    </xf>
    <xf numFmtId="3" fontId="58" fillId="0" borderId="199" xfId="0" applyNumberFormat="1" applyFont="1" applyFill="1" applyBorder="1" applyAlignment="1">
      <alignment horizontal="right" vertical="center"/>
    </xf>
    <xf numFmtId="165" fontId="58" fillId="0" borderId="199" xfId="0" applyNumberFormat="1" applyFont="1" applyFill="1" applyBorder="1" applyAlignment="1">
      <alignment horizontal="right" vertical="center"/>
    </xf>
    <xf numFmtId="0" fontId="109" fillId="0" borderId="28" xfId="0" applyFont="1" applyFill="1" applyBorder="1" applyAlignment="1">
      <alignment horizontal="left" vertical="center"/>
    </xf>
    <xf numFmtId="0" fontId="247" fillId="0" borderId="153" xfId="0" applyFont="1" applyBorder="1" applyAlignment="1">
      <alignment horizontal="center" vertical="center" wrapText="1"/>
    </xf>
    <xf numFmtId="0" fontId="60" fillId="0" borderId="32" xfId="0" applyFont="1" applyFill="1" applyBorder="1" applyAlignment="1">
      <alignment horizontal="left" vertical="center"/>
    </xf>
    <xf numFmtId="0" fontId="60" fillId="0" borderId="33" xfId="0" applyFont="1" applyFill="1" applyBorder="1" applyAlignment="1">
      <alignment horizontal="left" vertical="center"/>
    </xf>
    <xf numFmtId="0" fontId="0" fillId="0" borderId="0" xfId="0"/>
    <xf numFmtId="0" fontId="0" fillId="0" borderId="0" xfId="0"/>
    <xf numFmtId="0" fontId="0" fillId="0" borderId="15" xfId="0" applyBorder="1"/>
    <xf numFmtId="0" fontId="13" fillId="0" borderId="0" xfId="0" applyFont="1" applyAlignment="1">
      <alignment horizontal="left" indent="1"/>
    </xf>
    <xf numFmtId="0" fontId="63" fillId="0" borderId="0" xfId="0" applyFont="1" applyAlignment="1">
      <alignment horizontal="left" indent="1"/>
    </xf>
    <xf numFmtId="0" fontId="68" fillId="0" borderId="0" xfId="0" applyFont="1"/>
    <xf numFmtId="0" fontId="89" fillId="30" borderId="45" xfId="0" applyFont="1" applyFill="1" applyBorder="1" applyAlignment="1" applyProtection="1">
      <alignment horizontal="right" vertical="top" wrapText="1"/>
    </xf>
    <xf numFmtId="17" fontId="0" fillId="40" borderId="8" xfId="0" applyNumberFormat="1" applyFill="1" applyBorder="1" applyProtection="1"/>
    <xf numFmtId="0" fontId="137" fillId="38" borderId="79" xfId="0" applyFont="1" applyFill="1" applyBorder="1" applyAlignment="1">
      <alignment vertical="center"/>
    </xf>
    <xf numFmtId="0" fontId="0" fillId="0" borderId="0" xfId="0"/>
    <xf numFmtId="0" fontId="0" fillId="0" borderId="0" xfId="0"/>
    <xf numFmtId="1" fontId="63" fillId="0" borderId="8" xfId="91" applyNumberFormat="1" applyFont="1" applyBorder="1" applyAlignment="1">
      <alignment horizontal="center" vertical="center"/>
    </xf>
    <xf numFmtId="1" fontId="53" fillId="0" borderId="8" xfId="91" applyNumberFormat="1" applyFont="1" applyBorder="1" applyAlignment="1">
      <alignment horizontal="center" vertical="center"/>
    </xf>
    <xf numFmtId="0" fontId="19" fillId="0" borderId="8" xfId="91" applyFont="1" applyBorder="1" applyAlignment="1">
      <alignment horizontal="center" vertical="center"/>
    </xf>
    <xf numFmtId="1" fontId="19" fillId="0" borderId="8" xfId="91" applyNumberFormat="1" applyFont="1" applyBorder="1" applyAlignment="1">
      <alignment horizontal="center" vertical="center"/>
    </xf>
    <xf numFmtId="0" fontId="53" fillId="0" borderId="8" xfId="91" applyFont="1" applyBorder="1" applyAlignment="1">
      <alignment horizontal="center" vertical="center"/>
    </xf>
    <xf numFmtId="0" fontId="250" fillId="30" borderId="0" xfId="0" applyFont="1" applyFill="1" applyAlignment="1" applyProtection="1">
      <alignment horizontal="left" vertical="top" wrapText="1"/>
    </xf>
    <xf numFmtId="0" fontId="250" fillId="30" borderId="204" xfId="0" applyFont="1" applyFill="1" applyBorder="1" applyAlignment="1" applyProtection="1">
      <alignment horizontal="center" vertical="center" wrapText="1"/>
    </xf>
    <xf numFmtId="0" fontId="250" fillId="30" borderId="205" xfId="0" applyFont="1" applyFill="1" applyBorder="1" applyAlignment="1" applyProtection="1">
      <alignment horizontal="left" vertical="center" wrapText="1"/>
    </xf>
    <xf numFmtId="0" fontId="250" fillId="30" borderId="205" xfId="0" applyFont="1" applyFill="1" applyBorder="1" applyAlignment="1" applyProtection="1">
      <alignment horizontal="center" vertical="center" wrapText="1"/>
    </xf>
    <xf numFmtId="190" fontId="250" fillId="30" borderId="205" xfId="0" applyNumberFormat="1" applyFont="1" applyFill="1" applyBorder="1" applyAlignment="1" applyProtection="1">
      <alignment horizontal="center" vertical="center" wrapText="1"/>
    </xf>
    <xf numFmtId="190" fontId="89" fillId="30" borderId="205" xfId="0" applyNumberFormat="1" applyFont="1" applyFill="1" applyBorder="1" applyAlignment="1" applyProtection="1">
      <alignment horizontal="center" vertical="center" wrapText="1"/>
    </xf>
    <xf numFmtId="0" fontId="89" fillId="30" borderId="206" xfId="0" applyFont="1" applyFill="1" applyBorder="1" applyAlignment="1" applyProtection="1">
      <alignment horizontal="center" vertical="center" wrapText="1"/>
    </xf>
    <xf numFmtId="190" fontId="250" fillId="30" borderId="206" xfId="0" applyNumberFormat="1" applyFont="1" applyFill="1" applyBorder="1" applyAlignment="1" applyProtection="1">
      <alignment horizontal="center" vertical="top" wrapText="1"/>
    </xf>
    <xf numFmtId="0" fontId="250" fillId="30" borderId="206" xfId="0" applyFont="1" applyFill="1" applyBorder="1" applyAlignment="1" applyProtection="1">
      <alignment horizontal="left" vertical="top" wrapText="1"/>
    </xf>
    <xf numFmtId="0" fontId="250" fillId="30" borderId="206" xfId="0" applyFont="1" applyFill="1" applyBorder="1" applyAlignment="1" applyProtection="1">
      <alignment horizontal="center" vertical="top" wrapText="1"/>
    </xf>
    <xf numFmtId="190" fontId="89" fillId="30" borderId="206" xfId="0" applyNumberFormat="1" applyFont="1" applyFill="1" applyBorder="1" applyAlignment="1" applyProtection="1">
      <alignment horizontal="center" vertical="top" wrapText="1"/>
    </xf>
    <xf numFmtId="0" fontId="89" fillId="30" borderId="206" xfId="0" applyFont="1" applyFill="1" applyBorder="1" applyAlignment="1" applyProtection="1">
      <alignment horizontal="center" vertical="top" wrapText="1"/>
    </xf>
    <xf numFmtId="0" fontId="0" fillId="0" borderId="0" xfId="0" applyFont="1" applyFill="1" applyBorder="1"/>
    <xf numFmtId="0" fontId="142" fillId="0" borderId="0" xfId="0" applyFont="1"/>
    <xf numFmtId="0" fontId="0" fillId="0" borderId="31" xfId="0" applyFont="1" applyFill="1" applyBorder="1"/>
    <xf numFmtId="0" fontId="181" fillId="0" borderId="8" xfId="0" applyFont="1" applyBorder="1" applyAlignment="1">
      <alignment vertical="top" wrapText="1"/>
    </xf>
    <xf numFmtId="0" fontId="13" fillId="0" borderId="8" xfId="0" applyFont="1" applyBorder="1" applyAlignment="1">
      <alignment horizontal="center" vertical="top" wrapText="1"/>
    </xf>
    <xf numFmtId="0" fontId="181" fillId="0" borderId="8" xfId="0" applyFont="1" applyBorder="1" applyAlignment="1">
      <alignment horizontal="right" vertical="top" wrapText="1"/>
    </xf>
    <xf numFmtId="0" fontId="181" fillId="56" borderId="8" xfId="0" applyFont="1" applyFill="1" applyBorder="1" applyAlignment="1">
      <alignment vertical="top" wrapText="1"/>
    </xf>
    <xf numFmtId="0" fontId="0" fillId="0" borderId="8" xfId="0" applyFont="1" applyFill="1" applyBorder="1"/>
    <xf numFmtId="0" fontId="181" fillId="0" borderId="8" xfId="0" applyFont="1" applyFill="1" applyBorder="1" applyAlignment="1">
      <alignment vertical="top" wrapText="1"/>
    </xf>
    <xf numFmtId="0" fontId="183" fillId="0" borderId="8" xfId="0" applyFont="1" applyBorder="1" applyAlignment="1">
      <alignment horizontal="center" vertical="top" wrapText="1"/>
    </xf>
    <xf numFmtId="0" fontId="183" fillId="0" borderId="8" xfId="0" applyFont="1" applyBorder="1" applyAlignment="1">
      <alignment vertical="top" wrapText="1"/>
    </xf>
    <xf numFmtId="0" fontId="183" fillId="0" borderId="0" xfId="0" applyFont="1" applyBorder="1" applyAlignment="1">
      <alignment horizontal="center" vertical="top" wrapText="1"/>
    </xf>
    <xf numFmtId="3" fontId="13" fillId="0" borderId="13" xfId="0" applyNumberFormat="1" applyFont="1" applyFill="1" applyBorder="1"/>
    <xf numFmtId="3" fontId="13" fillId="0" borderId="0" xfId="0" applyNumberFormat="1" applyFont="1" applyFill="1" applyBorder="1"/>
    <xf numFmtId="0" fontId="13" fillId="0" borderId="15" xfId="0" applyFont="1" applyFill="1" applyBorder="1"/>
    <xf numFmtId="0" fontId="13" fillId="0" borderId="0" xfId="0" applyFont="1" applyFill="1"/>
    <xf numFmtId="165" fontId="13" fillId="0" borderId="0" xfId="0" applyNumberFormat="1" applyFont="1" applyFill="1" applyBorder="1"/>
    <xf numFmtId="0" fontId="13" fillId="0" borderId="18" xfId="0" applyFont="1" applyFill="1" applyBorder="1"/>
    <xf numFmtId="0" fontId="13" fillId="0" borderId="0" xfId="0" applyFont="1" applyFill="1" applyBorder="1"/>
    <xf numFmtId="0" fontId="13" fillId="0" borderId="24" xfId="0" applyFont="1" applyFill="1" applyBorder="1" applyAlignment="1"/>
    <xf numFmtId="3" fontId="13" fillId="0" borderId="8" xfId="0" applyNumberFormat="1" applyFont="1" applyFill="1" applyBorder="1"/>
    <xf numFmtId="181" fontId="13" fillId="0" borderId="0" xfId="0" applyNumberFormat="1" applyFont="1" applyFill="1" applyBorder="1"/>
    <xf numFmtId="1" fontId="13" fillId="0" borderId="0" xfId="0" applyNumberFormat="1" applyFont="1" applyFill="1"/>
    <xf numFmtId="0" fontId="13" fillId="0" borderId="19" xfId="0" applyFont="1" applyFill="1" applyBorder="1"/>
    <xf numFmtId="0" fontId="13" fillId="0" borderId="17" xfId="0" applyFont="1" applyFill="1" applyBorder="1"/>
    <xf numFmtId="165" fontId="13" fillId="0" borderId="17" xfId="0" applyNumberFormat="1" applyFont="1" applyFill="1" applyBorder="1"/>
    <xf numFmtId="0" fontId="13" fillId="0" borderId="0" xfId="0" applyFont="1" applyFill="1" applyBorder="1" applyAlignment="1"/>
    <xf numFmtId="0" fontId="13" fillId="0" borderId="0" xfId="0" applyFont="1" applyFill="1" applyAlignment="1"/>
    <xf numFmtId="0" fontId="13" fillId="0" borderId="0" xfId="0" applyFont="1" applyFill="1" applyBorder="1" applyAlignment="1">
      <alignment horizontal="center"/>
    </xf>
    <xf numFmtId="0" fontId="13" fillId="0" borderId="0" xfId="0" quotePrefix="1" applyFont="1" applyFill="1" applyBorder="1"/>
    <xf numFmtId="165" fontId="13" fillId="0" borderId="0" xfId="0" applyNumberFormat="1" applyFont="1" applyFill="1"/>
    <xf numFmtId="17" fontId="13" fillId="0" borderId="0" xfId="0" applyNumberFormat="1" applyFont="1" applyFill="1"/>
    <xf numFmtId="0" fontId="13" fillId="0" borderId="18" xfId="0" applyFont="1" applyFill="1" applyBorder="1" applyAlignment="1">
      <alignment horizontal="right"/>
    </xf>
    <xf numFmtId="0" fontId="13" fillId="0" borderId="18" xfId="0" applyFont="1" applyFill="1" applyBorder="1" applyAlignment="1">
      <alignment wrapText="1"/>
    </xf>
    <xf numFmtId="0" fontId="13" fillId="0" borderId="30" xfId="0" applyFont="1" applyFill="1" applyBorder="1" applyAlignment="1">
      <alignment horizontal="center"/>
    </xf>
    <xf numFmtId="0" fontId="13" fillId="0" borderId="8" xfId="0" applyFont="1" applyFill="1" applyBorder="1" applyAlignment="1"/>
    <xf numFmtId="165" fontId="13" fillId="0" borderId="8" xfId="0" applyNumberFormat="1" applyFont="1" applyFill="1" applyBorder="1" applyAlignment="1">
      <alignment horizontal="center"/>
    </xf>
    <xf numFmtId="1" fontId="13" fillId="0" borderId="8" xfId="0" applyNumberFormat="1" applyFont="1" applyFill="1" applyBorder="1"/>
    <xf numFmtId="165" fontId="13" fillId="0" borderId="0" xfId="0" applyNumberFormat="1" applyFont="1" applyFill="1" applyBorder="1" applyAlignment="1">
      <alignment horizontal="center"/>
    </xf>
    <xf numFmtId="0" fontId="13" fillId="0" borderId="4" xfId="0" applyFont="1" applyFill="1" applyBorder="1" applyAlignment="1">
      <alignment horizontal="center"/>
    </xf>
    <xf numFmtId="0" fontId="13" fillId="0" borderId="29" xfId="0" applyFont="1" applyFill="1" applyBorder="1"/>
    <xf numFmtId="0" fontId="92" fillId="0" borderId="8" xfId="0" applyFont="1" applyBorder="1" applyAlignment="1">
      <alignment horizontal="center" vertical="center"/>
    </xf>
    <xf numFmtId="0" fontId="0" fillId="0" borderId="0" xfId="0"/>
    <xf numFmtId="0" fontId="0" fillId="0" borderId="15" xfId="0" applyBorder="1"/>
    <xf numFmtId="0" fontId="98" fillId="0" borderId="41" xfId="0" applyFont="1" applyBorder="1" applyAlignment="1">
      <alignment horizontal="center"/>
    </xf>
    <xf numFmtId="0" fontId="98" fillId="0" borderId="45" xfId="0" applyFont="1" applyBorder="1" applyAlignment="1">
      <alignment horizontal="center"/>
    </xf>
    <xf numFmtId="0" fontId="0" fillId="0" borderId="0" xfId="0" applyBorder="1" applyAlignment="1">
      <alignment horizontal="center"/>
    </xf>
    <xf numFmtId="0" fontId="154" fillId="0" borderId="8" xfId="0" applyFont="1" applyFill="1" applyBorder="1" applyAlignment="1">
      <alignment horizontal="center" vertical="center" wrapText="1"/>
    </xf>
    <xf numFmtId="0" fontId="154" fillId="0" borderId="45" xfId="0" applyFont="1" applyFill="1" applyBorder="1" applyAlignment="1">
      <alignment horizontal="center" vertical="center" wrapText="1"/>
    </xf>
    <xf numFmtId="0" fontId="0" fillId="0" borderId="8" xfId="0" applyBorder="1" applyAlignment="1">
      <alignment horizontal="center"/>
    </xf>
    <xf numFmtId="0" fontId="0" fillId="0" borderId="0" xfId="0"/>
    <xf numFmtId="0" fontId="0" fillId="0" borderId="15" xfId="0" applyBorder="1"/>
    <xf numFmtId="0" fontId="21" fillId="0" borderId="8" xfId="0" applyFont="1" applyBorder="1" applyAlignment="1">
      <alignment horizontal="center" vertical="center"/>
    </xf>
    <xf numFmtId="0" fontId="23" fillId="0" borderId="0" xfId="0" applyFont="1" applyBorder="1" applyAlignment="1">
      <alignment vertical="center" wrapText="1"/>
    </xf>
    <xf numFmtId="0" fontId="90" fillId="0" borderId="0" xfId="72" applyFont="1" applyBorder="1" applyAlignment="1">
      <alignment horizontal="left" vertical="center"/>
    </xf>
    <xf numFmtId="0" fontId="21" fillId="0" borderId="8" xfId="0" applyFont="1" applyBorder="1" applyAlignment="1">
      <alignment horizontal="center" wrapText="1"/>
    </xf>
    <xf numFmtId="2" fontId="149" fillId="41" borderId="0" xfId="58" applyNumberFormat="1" applyFont="1" applyFill="1" applyBorder="1"/>
    <xf numFmtId="2" fontId="149" fillId="43" borderId="0" xfId="58" applyNumberFormat="1" applyFont="1" applyFill="1" applyBorder="1"/>
    <xf numFmtId="2" fontId="149" fillId="43" borderId="15" xfId="58" applyNumberFormat="1" applyFont="1" applyFill="1" applyBorder="1"/>
    <xf numFmtId="1" fontId="21" fillId="0" borderId="0" xfId="0" applyNumberFormat="1" applyFont="1" applyBorder="1" applyAlignment="1">
      <alignment horizontal="center" vertical="top" wrapText="1"/>
    </xf>
    <xf numFmtId="0" fontId="98" fillId="0" borderId="46" xfId="0" applyFont="1" applyBorder="1" applyAlignment="1">
      <alignment horizontal="center"/>
    </xf>
    <xf numFmtId="0" fontId="123" fillId="0" borderId="47" xfId="0" applyFont="1" applyBorder="1"/>
    <xf numFmtId="0" fontId="18" fillId="0" borderId="47" xfId="0" applyFont="1" applyBorder="1"/>
    <xf numFmtId="0" fontId="21" fillId="0" borderId="29" xfId="0" applyFont="1" applyBorder="1" applyAlignment="1">
      <alignment horizontal="right"/>
    </xf>
    <xf numFmtId="2" fontId="21" fillId="0" borderId="45" xfId="0" applyNumberFormat="1" applyFont="1" applyBorder="1" applyAlignment="1">
      <alignment horizontal="center" vertical="center"/>
    </xf>
    <xf numFmtId="0" fontId="56" fillId="0" borderId="15" xfId="72" applyFont="1" applyBorder="1" applyAlignment="1">
      <alignment horizontal="left" vertical="center"/>
    </xf>
    <xf numFmtId="0" fontId="66" fillId="0" borderId="17" xfId="0" applyFont="1" applyBorder="1"/>
    <xf numFmtId="0" fontId="54" fillId="0" borderId="0" xfId="72" quotePrefix="1" applyFont="1" applyBorder="1" applyAlignment="1">
      <alignment vertical="center"/>
    </xf>
    <xf numFmtId="0" fontId="0" fillId="0" borderId="0" xfId="0" applyBorder="1" applyAlignment="1"/>
    <xf numFmtId="17" fontId="157" fillId="0" borderId="0" xfId="0" applyNumberFormat="1" applyFont="1" applyBorder="1" applyAlignment="1"/>
    <xf numFmtId="0" fontId="19" fillId="0" borderId="41" xfId="72" applyFont="1" applyBorder="1" applyAlignment="1">
      <alignment vertical="center"/>
    </xf>
    <xf numFmtId="0" fontId="21" fillId="0" borderId="41" xfId="72" applyFont="1" applyBorder="1" applyAlignment="1">
      <alignment vertical="center"/>
    </xf>
    <xf numFmtId="2" fontId="21" fillId="0" borderId="45" xfId="72" applyNumberFormat="1" applyFont="1" applyBorder="1" applyAlignment="1">
      <alignment horizontal="right" vertical="center"/>
    </xf>
    <xf numFmtId="0" fontId="0" fillId="0" borderId="29" xfId="0" applyBorder="1" applyAlignment="1"/>
    <xf numFmtId="0" fontId="21" fillId="0" borderId="29" xfId="58" applyFont="1" applyBorder="1"/>
    <xf numFmtId="0" fontId="54" fillId="0" borderId="0" xfId="58" applyFont="1" applyBorder="1"/>
    <xf numFmtId="2" fontId="0" fillId="0" borderId="17" xfId="0" applyNumberFormat="1" applyBorder="1"/>
    <xf numFmtId="165" fontId="0" fillId="0" borderId="47" xfId="0" applyNumberFormat="1" applyBorder="1" applyAlignment="1">
      <alignment horizontal="center"/>
    </xf>
    <xf numFmtId="0" fontId="21" fillId="0" borderId="29" xfId="0" applyFont="1" applyBorder="1" applyAlignment="1">
      <alignment horizontal="right" vertical="top"/>
    </xf>
    <xf numFmtId="0" fontId="21" fillId="53" borderId="28" xfId="0" applyFont="1" applyFill="1" applyBorder="1"/>
    <xf numFmtId="0" fontId="21" fillId="53" borderId="4" xfId="0" applyFont="1" applyFill="1" applyBorder="1"/>
    <xf numFmtId="0" fontId="21" fillId="53" borderId="41" xfId="0" applyFont="1" applyFill="1" applyBorder="1" applyAlignment="1">
      <alignment horizontal="left"/>
    </xf>
    <xf numFmtId="0" fontId="13" fillId="53" borderId="41" xfId="0" applyFont="1" applyFill="1" applyBorder="1" applyAlignment="1">
      <alignment horizontal="left"/>
    </xf>
    <xf numFmtId="0" fontId="13" fillId="53" borderId="45" xfId="0" applyFont="1" applyFill="1" applyBorder="1"/>
    <xf numFmtId="0" fontId="21" fillId="53" borderId="45" xfId="0" applyFont="1" applyFill="1" applyBorder="1" applyAlignment="1">
      <alignment horizontal="center"/>
    </xf>
    <xf numFmtId="0" fontId="13" fillId="53" borderId="45" xfId="0" applyFont="1" applyFill="1" applyBorder="1" applyAlignment="1">
      <alignment horizontal="center"/>
    </xf>
    <xf numFmtId="0" fontId="13" fillId="0" borderId="41" xfId="0" applyFont="1" applyBorder="1" applyAlignment="1">
      <alignment horizontal="left"/>
    </xf>
    <xf numFmtId="0" fontId="21" fillId="53" borderId="45" xfId="0" applyFont="1" applyFill="1" applyBorder="1"/>
    <xf numFmtId="0" fontId="0" fillId="0" borderId="41" xfId="0" applyBorder="1" applyAlignment="1">
      <alignment horizontal="left"/>
    </xf>
    <xf numFmtId="0" fontId="0" fillId="0" borderId="45" xfId="0" applyBorder="1"/>
    <xf numFmtId="0" fontId="0" fillId="0" borderId="41" xfId="0" applyBorder="1"/>
    <xf numFmtId="0" fontId="21" fillId="53" borderId="46" xfId="0" applyFont="1" applyFill="1" applyBorder="1" applyAlignment="1">
      <alignment horizontal="left"/>
    </xf>
    <xf numFmtId="0" fontId="13" fillId="53" borderId="47" xfId="0" applyFont="1" applyFill="1" applyBorder="1" applyAlignment="1">
      <alignment horizontal="center"/>
    </xf>
    <xf numFmtId="0" fontId="13" fillId="53" borderId="48" xfId="0" applyFont="1" applyFill="1" applyBorder="1" applyAlignment="1">
      <alignment horizontal="center"/>
    </xf>
    <xf numFmtId="0" fontId="0" fillId="0" borderId="8" xfId="0" applyBorder="1" applyAlignment="1">
      <alignment horizontal="center"/>
    </xf>
    <xf numFmtId="0" fontId="0" fillId="0" borderId="0" xfId="0" applyBorder="1"/>
    <xf numFmtId="0" fontId="0" fillId="0" borderId="15" xfId="0" applyBorder="1"/>
    <xf numFmtId="0" fontId="21" fillId="0" borderId="8" xfId="0" applyFont="1" applyBorder="1" applyAlignment="1">
      <alignment horizontal="center" vertical="center"/>
    </xf>
    <xf numFmtId="0" fontId="89" fillId="30" borderId="0" xfId="0" applyFont="1" applyFill="1" applyBorder="1" applyAlignment="1" applyProtection="1">
      <alignment horizontal="left" vertical="top" wrapText="1"/>
    </xf>
    <xf numFmtId="0" fontId="89" fillId="30" borderId="206" xfId="0" applyFont="1" applyFill="1" applyBorder="1" applyAlignment="1" applyProtection="1">
      <alignment horizontal="left" vertical="top" wrapText="1"/>
    </xf>
    <xf numFmtId="0" fontId="21" fillId="0" borderId="13" xfId="0" applyFont="1" applyBorder="1" applyAlignment="1">
      <alignment horizontal="center" vertical="center"/>
    </xf>
    <xf numFmtId="0" fontId="23" fillId="0" borderId="30" xfId="0" applyFont="1" applyBorder="1" applyAlignment="1">
      <alignment horizontal="center"/>
    </xf>
    <xf numFmtId="0" fontId="220" fillId="0" borderId="0" xfId="0" applyFont="1" applyBorder="1" applyAlignment="1">
      <alignment horizontal="right" vertical="center"/>
    </xf>
    <xf numFmtId="0" fontId="19" fillId="0" borderId="0" xfId="0" applyFont="1"/>
    <xf numFmtId="0" fontId="19" fillId="0" borderId="0" xfId="0" applyFont="1" applyAlignment="1">
      <alignment horizontal="right"/>
    </xf>
    <xf numFmtId="2" fontId="22" fillId="0" borderId="0" xfId="0" applyNumberFormat="1" applyFont="1"/>
    <xf numFmtId="2" fontId="22" fillId="0" borderId="0" xfId="0" applyNumberFormat="1" applyFont="1" applyAlignment="1">
      <alignment vertical="center"/>
    </xf>
    <xf numFmtId="0" fontId="22" fillId="0" borderId="0" xfId="0" applyFont="1" applyAlignment="1">
      <alignment horizontal="right" vertical="center"/>
    </xf>
    <xf numFmtId="0" fontId="19" fillId="0" borderId="0" xfId="0" applyFont="1" applyAlignment="1">
      <alignment horizontal="right" vertical="center"/>
    </xf>
    <xf numFmtId="0" fontId="19" fillId="0" borderId="0" xfId="0" applyFont="1" applyAlignment="1">
      <alignment vertical="justify"/>
    </xf>
    <xf numFmtId="0" fontId="19" fillId="0" borderId="0" xfId="0" applyFont="1" applyAlignment="1">
      <alignment vertical="center"/>
    </xf>
    <xf numFmtId="0" fontId="22" fillId="0" borderId="0" xfId="0" applyFont="1" applyAlignment="1">
      <alignment horizontal="left" vertical="center" wrapText="1"/>
    </xf>
    <xf numFmtId="0" fontId="19" fillId="50" borderId="136" xfId="0" applyFont="1" applyFill="1" applyBorder="1" applyAlignment="1">
      <alignment vertical="center"/>
    </xf>
    <xf numFmtId="0" fontId="254" fillId="0" borderId="0" xfId="0" applyFont="1" applyAlignment="1">
      <alignment horizontal="right" indent="1"/>
    </xf>
    <xf numFmtId="0" fontId="63" fillId="0" borderId="0" xfId="0" applyFont="1" applyAlignment="1">
      <alignment vertical="justify"/>
    </xf>
    <xf numFmtId="0" fontId="63" fillId="0" borderId="0" xfId="0" applyFont="1" applyAlignment="1">
      <alignment horizontal="left" vertical="justify"/>
    </xf>
    <xf numFmtId="0" fontId="224" fillId="0" borderId="0" xfId="0" applyFont="1" applyAlignment="1">
      <alignment vertical="center"/>
    </xf>
    <xf numFmtId="0" fontId="225" fillId="0" borderId="0" xfId="0" applyFont="1" applyAlignment="1">
      <alignment vertical="center"/>
    </xf>
    <xf numFmtId="0" fontId="224" fillId="0" borderId="0" xfId="0" applyFont="1" applyAlignment="1">
      <alignment horizontal="right" vertical="center"/>
    </xf>
    <xf numFmtId="0" fontId="226" fillId="0" borderId="0" xfId="0" applyFont="1" applyAlignment="1">
      <alignment vertical="center"/>
    </xf>
    <xf numFmtId="0" fontId="227" fillId="0" borderId="0" xfId="0" applyFont="1" applyAlignment="1">
      <alignment vertical="center"/>
    </xf>
    <xf numFmtId="0" fontId="226" fillId="0" borderId="0" xfId="0" applyFont="1" applyAlignment="1">
      <alignment vertical="center" wrapText="1"/>
    </xf>
    <xf numFmtId="0" fontId="226" fillId="0" borderId="0" xfId="0" applyFont="1" applyAlignment="1">
      <alignment horizontal="center" vertical="center"/>
    </xf>
    <xf numFmtId="1" fontId="21" fillId="0" borderId="0" xfId="95" applyNumberFormat="1" applyFont="1" applyBorder="1" applyAlignment="1">
      <alignment horizontal="right" vertical="center"/>
    </xf>
    <xf numFmtId="1" fontId="13" fillId="0" borderId="46" xfId="91" applyNumberFormat="1" applyFont="1" applyFill="1" applyBorder="1" applyAlignment="1">
      <alignment horizontal="center"/>
    </xf>
    <xf numFmtId="0" fontId="13" fillId="0" borderId="46" xfId="91" applyFont="1" applyFill="1" applyBorder="1" applyAlignment="1">
      <alignment horizontal="center"/>
    </xf>
    <xf numFmtId="1" fontId="21" fillId="0" borderId="46" xfId="91" applyNumberFormat="1" applyFont="1" applyFill="1" applyBorder="1" applyAlignment="1">
      <alignment horizontal="center"/>
    </xf>
    <xf numFmtId="0" fontId="0" fillId="0" borderId="0" xfId="0" applyBorder="1"/>
    <xf numFmtId="0" fontId="255" fillId="30" borderId="200" xfId="0" applyFont="1" applyFill="1" applyBorder="1" applyAlignment="1" applyProtection="1">
      <alignment horizontal="center" vertical="center" wrapText="1"/>
    </xf>
    <xf numFmtId="0" fontId="255" fillId="30" borderId="201" xfId="0" applyFont="1" applyFill="1" applyBorder="1" applyAlignment="1" applyProtection="1">
      <alignment horizontal="center" vertical="center" wrapText="1"/>
    </xf>
    <xf numFmtId="0" fontId="255" fillId="30" borderId="202" xfId="0" applyFont="1" applyFill="1" applyBorder="1" applyAlignment="1" applyProtection="1">
      <alignment horizontal="center" vertical="center" wrapText="1"/>
    </xf>
    <xf numFmtId="0" fontId="255" fillId="30" borderId="203" xfId="0" applyFont="1" applyFill="1" applyBorder="1" applyAlignment="1" applyProtection="1">
      <alignment horizontal="center" vertical="center" wrapText="1"/>
    </xf>
    <xf numFmtId="0" fontId="250" fillId="30" borderId="0" xfId="0" applyFont="1" applyFill="1" applyBorder="1" applyAlignment="1" applyProtection="1">
      <alignment horizontal="center" vertical="center" wrapText="1"/>
    </xf>
    <xf numFmtId="190" fontId="89" fillId="30" borderId="0" xfId="0" applyNumberFormat="1" applyFont="1" applyFill="1" applyBorder="1" applyAlignment="1" applyProtection="1">
      <alignment horizontal="center" vertical="center" wrapText="1"/>
    </xf>
    <xf numFmtId="0" fontId="250" fillId="30" borderId="208" xfId="0" applyFont="1" applyFill="1" applyBorder="1" applyAlignment="1" applyProtection="1">
      <alignment horizontal="center" vertical="center" wrapText="1"/>
    </xf>
    <xf numFmtId="190" fontId="89" fillId="30" borderId="208" xfId="0" applyNumberFormat="1" applyFont="1" applyFill="1" applyBorder="1" applyAlignment="1" applyProtection="1">
      <alignment horizontal="center" vertical="center" wrapText="1"/>
    </xf>
    <xf numFmtId="0" fontId="162" fillId="0" borderId="8" xfId="0" applyFont="1" applyBorder="1" applyAlignment="1">
      <alignment horizontal="center"/>
    </xf>
    <xf numFmtId="0" fontId="94" fillId="0" borderId="8" xfId="0" applyFont="1" applyBorder="1" applyAlignment="1">
      <alignment horizontal="center" wrapText="1"/>
    </xf>
    <xf numFmtId="0" fontId="161" fillId="0" borderId="8" xfId="0" applyFont="1" applyBorder="1" applyAlignment="1">
      <alignment wrapText="1"/>
    </xf>
    <xf numFmtId="4" fontId="20" fillId="0" borderId="45" xfId="0" applyNumberFormat="1" applyFont="1" applyBorder="1" applyAlignment="1">
      <alignment vertical="center"/>
    </xf>
    <xf numFmtId="0" fontId="22" fillId="0" borderId="0" xfId="0" applyFont="1" applyFill="1" applyBorder="1" applyAlignment="1">
      <alignment horizontal="left" vertical="center"/>
    </xf>
    <xf numFmtId="0" fontId="22" fillId="0" borderId="0" xfId="0" applyFont="1" applyBorder="1" applyAlignment="1">
      <alignment horizontal="left" vertical="center" wrapText="1"/>
    </xf>
    <xf numFmtId="0" fontId="13" fillId="0" borderId="0" xfId="0" applyFont="1" applyBorder="1" applyAlignment="1">
      <alignment horizontal="left" vertical="center" wrapText="1"/>
    </xf>
    <xf numFmtId="0" fontId="22" fillId="0" borderId="0" xfId="0" applyFont="1" applyBorder="1" applyAlignment="1">
      <alignment horizontal="left" vertical="center"/>
    </xf>
    <xf numFmtId="0" fontId="21" fillId="0" borderId="0" xfId="0" applyFont="1" applyAlignment="1">
      <alignment horizontal="right" vertical="center"/>
    </xf>
    <xf numFmtId="0" fontId="22" fillId="0" borderId="8" xfId="0" applyFont="1" applyBorder="1" applyAlignment="1">
      <alignment vertical="center"/>
    </xf>
    <xf numFmtId="3" fontId="22" fillId="0" borderId="8" xfId="0" applyNumberFormat="1" applyFont="1" applyFill="1" applyBorder="1" applyAlignment="1">
      <alignment vertical="center"/>
    </xf>
    <xf numFmtId="0" fontId="22" fillId="0" borderId="8" xfId="0" applyFont="1" applyFill="1" applyBorder="1" applyAlignment="1">
      <alignment vertical="center"/>
    </xf>
    <xf numFmtId="3" fontId="22" fillId="0" borderId="8" xfId="0" applyNumberFormat="1" applyFont="1" applyBorder="1" applyAlignment="1">
      <alignment vertical="center"/>
    </xf>
    <xf numFmtId="1" fontId="21" fillId="0" borderId="0" xfId="89" applyNumberFormat="1" applyFont="1" applyAlignment="1">
      <alignment horizontal="right" vertical="center"/>
    </xf>
    <xf numFmtId="0" fontId="21" fillId="0" borderId="29" xfId="58" applyFont="1" applyBorder="1" applyAlignment="1">
      <alignment horizontal="right"/>
    </xf>
    <xf numFmtId="0" fontId="19" fillId="43" borderId="41" xfId="91" applyFont="1" applyFill="1" applyBorder="1" applyAlignment="1">
      <alignment horizontal="center" vertical="center" wrapText="1"/>
    </xf>
    <xf numFmtId="0" fontId="19" fillId="43" borderId="45" xfId="91" applyFont="1" applyFill="1" applyBorder="1" applyAlignment="1">
      <alignment horizontal="center" vertical="center" textRotation="90"/>
    </xf>
    <xf numFmtId="0" fontId="19" fillId="43" borderId="41" xfId="91" applyFont="1" applyFill="1" applyBorder="1" applyAlignment="1">
      <alignment horizontal="left" vertical="top"/>
    </xf>
    <xf numFmtId="0" fontId="19" fillId="0" borderId="45" xfId="91" applyFont="1" applyBorder="1" applyAlignment="1">
      <alignment horizontal="center" vertical="center"/>
    </xf>
    <xf numFmtId="0" fontId="19" fillId="43" borderId="41" xfId="91" applyFont="1" applyFill="1" applyBorder="1" applyAlignment="1">
      <alignment horizontal="left" vertical="top" wrapText="1"/>
    </xf>
    <xf numFmtId="183" fontId="19" fillId="43" borderId="41" xfId="91" applyNumberFormat="1" applyFont="1" applyFill="1" applyBorder="1" applyAlignment="1">
      <alignment horizontal="left" vertical="center" wrapText="1"/>
    </xf>
    <xf numFmtId="0" fontId="53" fillId="0" borderId="45" xfId="91" applyFont="1" applyBorder="1" applyAlignment="1">
      <alignment horizontal="center" vertical="center"/>
    </xf>
    <xf numFmtId="1" fontId="53" fillId="0" borderId="45" xfId="91" applyNumberFormat="1" applyFont="1" applyBorder="1" applyAlignment="1">
      <alignment horizontal="center" vertical="center"/>
    </xf>
    <xf numFmtId="1" fontId="19" fillId="0" borderId="41" xfId="91" applyNumberFormat="1" applyFont="1" applyBorder="1" applyAlignment="1">
      <alignment vertical="top" wrapText="1"/>
    </xf>
    <xf numFmtId="3" fontId="197" fillId="0" borderId="47" xfId="0" applyNumberFormat="1" applyFont="1" applyFill="1" applyBorder="1" applyAlignment="1">
      <alignment horizontal="center" vertical="center"/>
    </xf>
    <xf numFmtId="0" fontId="196" fillId="0" borderId="209" xfId="0" applyFont="1" applyFill="1" applyBorder="1"/>
    <xf numFmtId="1" fontId="196" fillId="0" borderId="17" xfId="0" applyNumberFormat="1" applyFont="1" applyFill="1" applyBorder="1"/>
    <xf numFmtId="2" fontId="196" fillId="0" borderId="67" xfId="0" applyNumberFormat="1" applyFont="1" applyFill="1" applyBorder="1"/>
    <xf numFmtId="0" fontId="19" fillId="0" borderId="29" xfId="0" applyFont="1" applyBorder="1"/>
    <xf numFmtId="0" fontId="21" fillId="0" borderId="0" xfId="0" applyFont="1" applyFill="1" applyBorder="1" applyAlignment="1">
      <alignment horizontal="right" vertical="center"/>
    </xf>
    <xf numFmtId="0" fontId="183" fillId="0" borderId="18" xfId="0" applyFont="1" applyBorder="1" applyAlignment="1">
      <alignment horizontal="center" vertical="top" wrapText="1"/>
    </xf>
    <xf numFmtId="0" fontId="252" fillId="0" borderId="15" xfId="0" applyFont="1" applyBorder="1" applyAlignment="1">
      <alignment horizontal="right" vertical="top"/>
    </xf>
    <xf numFmtId="0" fontId="181" fillId="0" borderId="41" xfId="0" applyFont="1" applyBorder="1" applyAlignment="1">
      <alignment horizontal="center" vertical="top" wrapText="1"/>
    </xf>
    <xf numFmtId="0" fontId="181" fillId="0" borderId="45" xfId="0" applyFont="1" applyBorder="1" applyAlignment="1">
      <alignment horizontal="right" vertical="top" wrapText="1"/>
    </xf>
    <xf numFmtId="0" fontId="181" fillId="56" borderId="41" xfId="0" applyFont="1" applyFill="1" applyBorder="1" applyAlignment="1">
      <alignment horizontal="center" vertical="top" wrapText="1"/>
    </xf>
    <xf numFmtId="0" fontId="181" fillId="0" borderId="45" xfId="0" applyFont="1" applyBorder="1" applyAlignment="1">
      <alignment horizontal="center" vertical="top" wrapText="1"/>
    </xf>
    <xf numFmtId="0" fontId="0" fillId="0" borderId="41" xfId="0" applyBorder="1" applyAlignment="1">
      <alignment horizontal="center"/>
    </xf>
    <xf numFmtId="0" fontId="141" fillId="0" borderId="45" xfId="0" applyFont="1" applyBorder="1"/>
    <xf numFmtId="0" fontId="21" fillId="41" borderId="45" xfId="0" applyFont="1" applyFill="1" applyBorder="1" applyAlignment="1">
      <alignment horizontal="right" vertical="top"/>
    </xf>
    <xf numFmtId="17" fontId="256" fillId="0" borderId="0" xfId="0" applyNumberFormat="1" applyFont="1" applyFill="1" applyBorder="1"/>
    <xf numFmtId="0" fontId="181" fillId="0" borderId="41" xfId="0" applyFont="1" applyFill="1" applyBorder="1" applyAlignment="1">
      <alignment horizontal="center" vertical="top" wrapText="1"/>
    </xf>
    <xf numFmtId="188" fontId="119" fillId="0" borderId="18" xfId="0" applyNumberFormat="1" applyFont="1" applyBorder="1" applyAlignment="1">
      <alignment horizontal="center"/>
    </xf>
    <xf numFmtId="188" fontId="119" fillId="0" borderId="0" xfId="0" applyNumberFormat="1" applyFont="1" applyBorder="1" applyAlignment="1">
      <alignment horizontal="center"/>
    </xf>
    <xf numFmtId="188" fontId="119" fillId="0" borderId="15" xfId="0" applyNumberFormat="1" applyFont="1" applyBorder="1" applyAlignment="1">
      <alignment horizontal="center"/>
    </xf>
    <xf numFmtId="0" fontId="119" fillId="0" borderId="18" xfId="0" applyFont="1" applyBorder="1" applyAlignment="1">
      <alignment horizontal="center"/>
    </xf>
    <xf numFmtId="0" fontId="119" fillId="0" borderId="0" xfId="0" applyFont="1" applyBorder="1" applyAlignment="1">
      <alignment horizontal="center"/>
    </xf>
    <xf numFmtId="0" fontId="119" fillId="0" borderId="15" xfId="0" applyFont="1" applyBorder="1" applyAlignment="1">
      <alignment horizontal="center"/>
    </xf>
    <xf numFmtId="49" fontId="119" fillId="0" borderId="18" xfId="0" applyNumberFormat="1" applyFont="1" applyBorder="1" applyAlignment="1">
      <alignment horizontal="center"/>
    </xf>
    <xf numFmtId="49" fontId="119" fillId="0" borderId="0" xfId="0" applyNumberFormat="1" applyFont="1" applyBorder="1" applyAlignment="1">
      <alignment horizontal="center"/>
    </xf>
    <xf numFmtId="49" fontId="119" fillId="0" borderId="15" xfId="0" applyNumberFormat="1" applyFont="1" applyBorder="1" applyAlignment="1">
      <alignment horizontal="center"/>
    </xf>
    <xf numFmtId="0" fontId="178" fillId="0" borderId="18" xfId="0" applyFont="1" applyBorder="1" applyAlignment="1">
      <alignment horizontal="center"/>
    </xf>
    <xf numFmtId="0" fontId="178" fillId="0" borderId="0" xfId="0" applyFont="1" applyBorder="1" applyAlignment="1">
      <alignment horizontal="center"/>
    </xf>
    <xf numFmtId="0" fontId="178" fillId="0" borderId="15" xfId="0" applyFont="1" applyBorder="1" applyAlignment="1">
      <alignment horizontal="center"/>
    </xf>
    <xf numFmtId="0" fontId="117" fillId="0" borderId="18" xfId="0" applyFont="1" applyBorder="1" applyAlignment="1">
      <alignment horizontal="center"/>
    </xf>
    <xf numFmtId="0" fontId="117" fillId="0" borderId="0" xfId="0" applyFont="1" applyBorder="1" applyAlignment="1">
      <alignment horizontal="center"/>
    </xf>
    <xf numFmtId="0" fontId="117" fillId="0" borderId="15" xfId="0" applyFont="1" applyBorder="1" applyAlignment="1">
      <alignment horizontal="center"/>
    </xf>
    <xf numFmtId="0" fontId="97" fillId="35" borderId="69" xfId="0" applyFont="1" applyFill="1" applyBorder="1" applyAlignment="1">
      <alignment horizontal="center" vertical="center"/>
    </xf>
    <xf numFmtId="0" fontId="97" fillId="35" borderId="4" xfId="0" applyFont="1" applyFill="1" applyBorder="1" applyAlignment="1">
      <alignment horizontal="center" vertical="center"/>
    </xf>
    <xf numFmtId="0" fontId="97" fillId="35" borderId="77" xfId="0" applyFont="1" applyFill="1" applyBorder="1" applyAlignment="1">
      <alignment horizontal="center" vertical="center"/>
    </xf>
    <xf numFmtId="0" fontId="100" fillId="22" borderId="38" xfId="0" applyFont="1" applyFill="1" applyBorder="1" applyAlignment="1">
      <alignment horizontal="center" vertical="center"/>
    </xf>
    <xf numFmtId="0" fontId="100" fillId="22" borderId="39" xfId="0" applyFont="1" applyFill="1" applyBorder="1" applyAlignment="1">
      <alignment horizontal="center" vertical="center"/>
    </xf>
    <xf numFmtId="0" fontId="100" fillId="22" borderId="40" xfId="0" applyFont="1" applyFill="1" applyBorder="1" applyAlignment="1">
      <alignment horizontal="center" vertical="center"/>
    </xf>
    <xf numFmtId="0" fontId="93" fillId="0" borderId="45" xfId="0" applyFont="1" applyBorder="1" applyAlignment="1">
      <alignment horizontal="center" vertical="center"/>
    </xf>
    <xf numFmtId="0" fontId="92" fillId="0" borderId="45" xfId="0" applyFont="1" applyBorder="1" applyAlignment="1">
      <alignment horizontal="center" vertical="center"/>
    </xf>
    <xf numFmtId="0" fontId="97" fillId="36" borderId="41" xfId="0" applyFont="1" applyFill="1" applyBorder="1" applyAlignment="1">
      <alignment horizontal="center" wrapText="1"/>
    </xf>
    <xf numFmtId="0" fontId="97" fillId="36" borderId="8" xfId="0" applyFont="1" applyFill="1" applyBorder="1" applyAlignment="1">
      <alignment horizontal="center" wrapText="1"/>
    </xf>
    <xf numFmtId="0" fontId="97" fillId="36" borderId="45" xfId="0" applyFont="1" applyFill="1" applyBorder="1" applyAlignment="1">
      <alignment horizontal="center" wrapText="1"/>
    </xf>
    <xf numFmtId="0" fontId="97" fillId="31" borderId="41" xfId="0" applyFont="1" applyFill="1" applyBorder="1" applyAlignment="1">
      <alignment horizontal="center" wrapText="1"/>
    </xf>
    <xf numFmtId="0" fontId="97" fillId="31" borderId="8" xfId="0" applyFont="1" applyFill="1" applyBorder="1" applyAlignment="1">
      <alignment horizontal="center" wrapText="1"/>
    </xf>
    <xf numFmtId="0" fontId="97" fillId="31" borderId="45" xfId="0" applyFont="1" applyFill="1" applyBorder="1" applyAlignment="1">
      <alignment horizontal="center" wrapText="1"/>
    </xf>
    <xf numFmtId="0" fontId="97" fillId="32" borderId="41" xfId="0" applyFont="1" applyFill="1" applyBorder="1" applyAlignment="1">
      <alignment horizontal="center" wrapText="1"/>
    </xf>
    <xf numFmtId="0" fontId="97" fillId="32" borderId="8" xfId="0" applyFont="1" applyFill="1" applyBorder="1" applyAlignment="1">
      <alignment horizontal="center" wrapText="1"/>
    </xf>
    <xf numFmtId="0" fontId="97" fillId="32" borderId="45" xfId="0" applyFont="1" applyFill="1" applyBorder="1" applyAlignment="1">
      <alignment horizontal="center" wrapText="1"/>
    </xf>
    <xf numFmtId="0" fontId="97" fillId="29" borderId="41" xfId="0" applyFont="1" applyFill="1" applyBorder="1" applyAlignment="1">
      <alignment horizontal="center" wrapText="1"/>
    </xf>
    <xf numFmtId="0" fontId="97" fillId="29" borderId="8" xfId="0" applyFont="1" applyFill="1" applyBorder="1" applyAlignment="1">
      <alignment horizontal="center" wrapText="1"/>
    </xf>
    <xf numFmtId="0" fontId="97" fillId="29" borderId="45" xfId="0" applyFont="1" applyFill="1" applyBorder="1" applyAlignment="1">
      <alignment horizontal="center" wrapText="1"/>
    </xf>
    <xf numFmtId="0" fontId="97" fillId="33" borderId="41" xfId="0" applyFont="1" applyFill="1" applyBorder="1" applyAlignment="1">
      <alignment horizontal="center"/>
    </xf>
    <xf numFmtId="0" fontId="97" fillId="33" borderId="8" xfId="0" applyFont="1" applyFill="1" applyBorder="1" applyAlignment="1">
      <alignment horizontal="center"/>
    </xf>
    <xf numFmtId="0" fontId="97" fillId="33" borderId="45" xfId="0" applyFont="1" applyFill="1" applyBorder="1" applyAlignment="1">
      <alignment horizontal="center"/>
    </xf>
    <xf numFmtId="0" fontId="98" fillId="0" borderId="41" xfId="0" applyFont="1" applyBorder="1" applyAlignment="1">
      <alignment horizontal="center"/>
    </xf>
    <xf numFmtId="0" fontId="98" fillId="0" borderId="8" xfId="0" applyFont="1" applyBorder="1" applyAlignment="1">
      <alignment horizontal="center"/>
    </xf>
    <xf numFmtId="0" fontId="98" fillId="0" borderId="45" xfId="0" applyFont="1" applyBorder="1" applyAlignment="1">
      <alignment horizontal="center"/>
    </xf>
    <xf numFmtId="0" fontId="97" fillId="34" borderId="41" xfId="0" applyFont="1" applyFill="1" applyBorder="1" applyAlignment="1">
      <alignment horizontal="center"/>
    </xf>
    <xf numFmtId="0" fontId="97" fillId="34" borderId="8" xfId="0" applyFont="1" applyFill="1" applyBorder="1" applyAlignment="1">
      <alignment horizontal="center"/>
    </xf>
    <xf numFmtId="0" fontId="97" fillId="34" borderId="45" xfId="0" applyFont="1" applyFill="1" applyBorder="1" applyAlignment="1">
      <alignment horizontal="center"/>
    </xf>
    <xf numFmtId="0" fontId="92" fillId="0" borderId="43" xfId="0" applyFont="1" applyBorder="1" applyAlignment="1">
      <alignment horizontal="center" vertical="center"/>
    </xf>
    <xf numFmtId="0" fontId="92" fillId="0" borderId="59" xfId="0" applyFont="1" applyBorder="1" applyAlignment="1">
      <alignment horizontal="center" vertical="center"/>
    </xf>
    <xf numFmtId="0" fontId="92" fillId="0" borderId="42" xfId="0" applyFont="1" applyBorder="1" applyAlignment="1">
      <alignment horizontal="center" vertical="center"/>
    </xf>
    <xf numFmtId="0" fontId="19" fillId="0" borderId="0" xfId="0" applyFont="1" applyBorder="1" applyAlignment="1">
      <alignment horizontal="center"/>
    </xf>
    <xf numFmtId="49" fontId="98" fillId="0" borderId="45" xfId="0" applyNumberFormat="1" applyFont="1" applyBorder="1" applyAlignment="1">
      <alignment horizontal="center" vertical="center"/>
    </xf>
    <xf numFmtId="49" fontId="98" fillId="0" borderId="48" xfId="0" applyNumberFormat="1" applyFont="1" applyBorder="1" applyAlignment="1">
      <alignment horizontal="center" vertical="center"/>
    </xf>
    <xf numFmtId="0" fontId="91" fillId="40" borderId="38" xfId="0" applyFont="1" applyFill="1" applyBorder="1" applyAlignment="1">
      <alignment horizontal="center"/>
    </xf>
    <xf numFmtId="0" fontId="91" fillId="40" borderId="39" xfId="0" applyFont="1" applyFill="1" applyBorder="1" applyAlignment="1">
      <alignment horizontal="center"/>
    </xf>
    <xf numFmtId="0" fontId="91" fillId="40" borderId="40" xfId="0" applyFont="1" applyFill="1" applyBorder="1" applyAlignment="1">
      <alignment horizontal="center"/>
    </xf>
    <xf numFmtId="0" fontId="0" fillId="0" borderId="30" xfId="0" applyBorder="1" applyAlignment="1">
      <alignment horizontal="right"/>
    </xf>
    <xf numFmtId="0" fontId="0" fillId="0" borderId="21" xfId="0" applyBorder="1" applyAlignment="1">
      <alignment horizontal="right"/>
    </xf>
    <xf numFmtId="2" fontId="21" fillId="0" borderId="30" xfId="0" applyNumberFormat="1" applyFont="1" applyBorder="1" applyAlignment="1">
      <alignment horizontal="right"/>
    </xf>
    <xf numFmtId="2" fontId="21" fillId="0" borderId="21" xfId="0" applyNumberFormat="1" applyFont="1" applyBorder="1" applyAlignment="1">
      <alignment horizontal="right"/>
    </xf>
    <xf numFmtId="0" fontId="0" fillId="0" borderId="22" xfId="0" applyBorder="1" applyAlignment="1">
      <alignment horizontal="center"/>
    </xf>
    <xf numFmtId="0" fontId="0" fillId="0" borderId="65" xfId="0" applyBorder="1" applyAlignment="1">
      <alignment horizontal="center"/>
    </xf>
    <xf numFmtId="0" fontId="0" fillId="0" borderId="15" xfId="0" applyBorder="1" applyAlignment="1">
      <alignment horizontal="center"/>
    </xf>
    <xf numFmtId="0" fontId="21" fillId="0" borderId="30" xfId="0" applyFont="1" applyBorder="1" applyAlignment="1">
      <alignment horizontal="center" wrapText="1"/>
    </xf>
    <xf numFmtId="0" fontId="21" fillId="0" borderId="21" xfId="0" applyFont="1" applyBorder="1" applyAlignment="1">
      <alignment horizontal="center" wrapText="1"/>
    </xf>
    <xf numFmtId="0" fontId="87" fillId="37" borderId="18" xfId="0" applyFont="1" applyFill="1" applyBorder="1" applyAlignment="1">
      <alignment horizontal="center" vertical="center"/>
    </xf>
    <xf numFmtId="0" fontId="87" fillId="37" borderId="0" xfId="0" applyFont="1" applyFill="1" applyBorder="1" applyAlignment="1">
      <alignment horizontal="center" vertical="center"/>
    </xf>
    <xf numFmtId="0" fontId="87" fillId="37" borderId="15" xfId="0" applyFont="1" applyFill="1" applyBorder="1" applyAlignment="1">
      <alignment horizontal="center" vertical="center"/>
    </xf>
    <xf numFmtId="0" fontId="0" fillId="0" borderId="33" xfId="0" applyBorder="1" applyAlignment="1">
      <alignment horizontal="center"/>
    </xf>
    <xf numFmtId="0" fontId="0" fillId="0" borderId="22" xfId="0" applyBorder="1" applyAlignment="1">
      <alignment horizontal="left"/>
    </xf>
    <xf numFmtId="0" fontId="57" fillId="0" borderId="30" xfId="0" applyFont="1" applyBorder="1" applyAlignment="1">
      <alignment horizontal="center"/>
    </xf>
    <xf numFmtId="0" fontId="57" fillId="0" borderId="21" xfId="0" applyFont="1" applyBorder="1" applyAlignment="1">
      <alignment horizontal="center"/>
    </xf>
    <xf numFmtId="17" fontId="57" fillId="0" borderId="30" xfId="0" applyNumberFormat="1" applyFont="1" applyBorder="1" applyAlignment="1">
      <alignment horizontal="center"/>
    </xf>
    <xf numFmtId="17" fontId="57" fillId="0" borderId="21" xfId="0" applyNumberFormat="1" applyFont="1" applyBorder="1" applyAlignment="1">
      <alignment horizontal="center"/>
    </xf>
    <xf numFmtId="0" fontId="0" fillId="0" borderId="19"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4" fontId="21" fillId="0" borderId="30" xfId="0" applyNumberFormat="1" applyFont="1" applyBorder="1" applyAlignment="1">
      <alignment horizontal="right"/>
    </xf>
    <xf numFmtId="4" fontId="21" fillId="0" borderId="21" xfId="0" applyNumberFormat="1" applyFont="1" applyBorder="1" applyAlignment="1">
      <alignment horizontal="right"/>
    </xf>
    <xf numFmtId="0" fontId="0" fillId="0" borderId="0" xfId="0" applyBorder="1" applyAlignment="1">
      <alignment horizontal="center"/>
    </xf>
    <xf numFmtId="164" fontId="21" fillId="0" borderId="22" xfId="0" applyNumberFormat="1" applyFont="1" applyBorder="1" applyAlignment="1">
      <alignment horizontal="right"/>
    </xf>
    <xf numFmtId="0" fontId="0" fillId="0" borderId="30" xfId="0" applyBorder="1" applyAlignment="1">
      <alignment horizontal="left"/>
    </xf>
    <xf numFmtId="0" fontId="0" fillId="0" borderId="4" xfId="0" applyBorder="1" applyAlignment="1">
      <alignment horizontal="left"/>
    </xf>
    <xf numFmtId="0" fontId="0" fillId="0" borderId="21" xfId="0" applyBorder="1" applyAlignment="1">
      <alignment horizontal="left"/>
    </xf>
    <xf numFmtId="0" fontId="87" fillId="37" borderId="38" xfId="0" applyFont="1" applyFill="1" applyBorder="1" applyAlignment="1">
      <alignment horizontal="center" vertical="center" wrapText="1"/>
    </xf>
    <xf numFmtId="0" fontId="87" fillId="37" borderId="39" xfId="0" applyFont="1" applyFill="1" applyBorder="1" applyAlignment="1">
      <alignment horizontal="center" vertical="center" wrapText="1"/>
    </xf>
    <xf numFmtId="0" fontId="87" fillId="37" borderId="40" xfId="0" applyFont="1" applyFill="1" applyBorder="1" applyAlignment="1">
      <alignment horizontal="center" vertical="center" wrapText="1"/>
    </xf>
    <xf numFmtId="17" fontId="21" fillId="0" borderId="30" xfId="0" applyNumberFormat="1" applyFont="1" applyBorder="1" applyAlignment="1">
      <alignment horizontal="center"/>
    </xf>
    <xf numFmtId="17" fontId="21" fillId="0" borderId="21" xfId="0" applyNumberFormat="1" applyFont="1" applyBorder="1" applyAlignment="1">
      <alignment horizontal="center"/>
    </xf>
    <xf numFmtId="0" fontId="53" fillId="0" borderId="20" xfId="0" applyFont="1" applyBorder="1" applyAlignment="1">
      <alignment horizontal="center" vertical="center"/>
    </xf>
    <xf numFmtId="0" fontId="53" fillId="0" borderId="13" xfId="0" applyFont="1" applyBorder="1" applyAlignment="1">
      <alignment horizontal="center" vertical="center"/>
    </xf>
    <xf numFmtId="0" fontId="21" fillId="0" borderId="30" xfId="0" applyFont="1" applyBorder="1" applyAlignment="1">
      <alignment horizontal="center" vertical="center"/>
    </xf>
    <xf numFmtId="0" fontId="21" fillId="0" borderId="21" xfId="0" applyFont="1" applyBorder="1" applyAlignment="1">
      <alignment horizontal="center" vertical="center"/>
    </xf>
    <xf numFmtId="164" fontId="21" fillId="0" borderId="30" xfId="0" applyNumberFormat="1" applyFont="1" applyBorder="1" applyAlignment="1">
      <alignment horizontal="center" vertical="center"/>
    </xf>
    <xf numFmtId="164" fontId="21" fillId="0" borderId="21" xfId="0" applyNumberFormat="1" applyFont="1" applyBorder="1" applyAlignment="1">
      <alignment horizontal="center" vertical="center"/>
    </xf>
    <xf numFmtId="0" fontId="57" fillId="0" borderId="20" xfId="0" applyFont="1" applyBorder="1" applyAlignment="1">
      <alignment horizontal="center" vertical="center" wrapText="1"/>
    </xf>
    <xf numFmtId="0" fontId="57" fillId="0" borderId="13" xfId="0" applyFont="1" applyBorder="1" applyAlignment="1">
      <alignment horizontal="center" vertical="center" wrapText="1"/>
    </xf>
    <xf numFmtId="0" fontId="23" fillId="0" borderId="59" xfId="0" applyFont="1" applyBorder="1" applyAlignment="1">
      <alignment horizontal="center" wrapText="1"/>
    </xf>
    <xf numFmtId="0" fontId="16" fillId="0" borderId="33" xfId="0" applyFont="1" applyBorder="1" applyAlignment="1">
      <alignment horizontal="center" wrapText="1"/>
    </xf>
    <xf numFmtId="0" fontId="16" fillId="0" borderId="14" xfId="0" applyFont="1" applyBorder="1" applyAlignment="1">
      <alignment horizontal="center" wrapText="1"/>
    </xf>
    <xf numFmtId="0" fontId="153" fillId="0" borderId="82" xfId="0" applyFont="1" applyFill="1" applyBorder="1" applyAlignment="1">
      <alignment horizontal="center" vertical="center" wrapText="1"/>
    </xf>
    <xf numFmtId="0" fontId="153" fillId="0" borderId="78" xfId="0" applyFont="1" applyFill="1" applyBorder="1" applyAlignment="1">
      <alignment horizontal="center" vertical="center" wrapText="1"/>
    </xf>
    <xf numFmtId="0" fontId="153" fillId="0" borderId="79" xfId="0" applyFont="1" applyFill="1" applyBorder="1" applyAlignment="1">
      <alignment horizontal="center" vertical="center" wrapText="1"/>
    </xf>
    <xf numFmtId="3" fontId="154" fillId="0" borderId="41" xfId="0" applyNumberFormat="1" applyFont="1" applyFill="1" applyBorder="1" applyAlignment="1">
      <alignment horizontal="center" vertical="center" wrapText="1"/>
    </xf>
    <xf numFmtId="3" fontId="154" fillId="0" borderId="8" xfId="0" applyNumberFormat="1" applyFont="1" applyFill="1" applyBorder="1" applyAlignment="1">
      <alignment horizontal="center" vertical="center" wrapText="1"/>
    </xf>
    <xf numFmtId="0" fontId="154" fillId="0" borderId="8" xfId="0" applyFont="1" applyFill="1" applyBorder="1" applyAlignment="1">
      <alignment horizontal="center" vertical="center" wrapText="1"/>
    </xf>
    <xf numFmtId="0" fontId="154" fillId="0" borderId="45" xfId="0" applyFont="1" applyFill="1" applyBorder="1" applyAlignment="1">
      <alignment horizontal="center" vertical="center" wrapText="1"/>
    </xf>
    <xf numFmtId="0" fontId="175" fillId="0" borderId="8" xfId="0" applyFont="1" applyBorder="1" applyAlignment="1">
      <alignment horizontal="center" vertical="center"/>
    </xf>
    <xf numFmtId="0" fontId="155" fillId="0" borderId="41" xfId="0" applyFont="1" applyBorder="1" applyAlignment="1">
      <alignment horizontal="center"/>
    </xf>
    <xf numFmtId="0" fontId="0" fillId="0" borderId="8" xfId="0" applyBorder="1" applyAlignment="1">
      <alignment horizontal="center"/>
    </xf>
    <xf numFmtId="0" fontId="155" fillId="0" borderId="15" xfId="0" applyFont="1" applyBorder="1" applyAlignment="1">
      <alignment horizontal="center"/>
    </xf>
    <xf numFmtId="0" fontId="87" fillId="37" borderId="38" xfId="0" applyFont="1" applyFill="1" applyBorder="1" applyAlignment="1">
      <alignment horizontal="center" vertical="center"/>
    </xf>
    <xf numFmtId="0" fontId="87" fillId="37" borderId="39" xfId="0" applyFont="1" applyFill="1" applyBorder="1" applyAlignment="1">
      <alignment horizontal="center" vertical="center"/>
    </xf>
    <xf numFmtId="0" fontId="87" fillId="37" borderId="40" xfId="0" applyFont="1" applyFill="1" applyBorder="1" applyAlignment="1">
      <alignment horizontal="center" vertical="center"/>
    </xf>
    <xf numFmtId="0" fontId="0" fillId="0" borderId="0" xfId="0" applyBorder="1"/>
    <xf numFmtId="0" fontId="0" fillId="0" borderId="15" xfId="0" applyBorder="1"/>
    <xf numFmtId="0" fontId="57" fillId="0" borderId="0" xfId="0" applyFont="1" applyBorder="1" applyAlignment="1">
      <alignment horizontal="left" wrapText="1"/>
    </xf>
    <xf numFmtId="0" fontId="57" fillId="0" borderId="15" xfId="0" applyFont="1" applyBorder="1" applyAlignment="1">
      <alignment horizontal="left" wrapText="1"/>
    </xf>
    <xf numFmtId="0" fontId="21" fillId="0" borderId="43" xfId="0" applyFont="1" applyBorder="1" applyAlignment="1">
      <alignment horizontal="center" vertical="center" wrapText="1"/>
    </xf>
    <xf numFmtId="0" fontId="0" fillId="0" borderId="42" xfId="0" applyBorder="1" applyAlignment="1">
      <alignment horizontal="center" vertical="center" wrapText="1"/>
    </xf>
    <xf numFmtId="0" fontId="21" fillId="0" borderId="8" xfId="0" applyFont="1" applyBorder="1" applyAlignment="1">
      <alignment horizontal="center" vertical="center"/>
    </xf>
    <xf numFmtId="0" fontId="16" fillId="0" borderId="30" xfId="72" applyFont="1" applyBorder="1" applyAlignment="1">
      <alignment horizontal="center" vertical="center"/>
    </xf>
    <xf numFmtId="0" fontId="16" fillId="0" borderId="4" xfId="72" applyFont="1" applyBorder="1" applyAlignment="1">
      <alignment horizontal="center" vertical="center"/>
    </xf>
    <xf numFmtId="0" fontId="16" fillId="0" borderId="21" xfId="72" applyFont="1" applyBorder="1" applyAlignment="1">
      <alignment horizontal="center" vertical="center"/>
    </xf>
    <xf numFmtId="0" fontId="90" fillId="0" borderId="0" xfId="0" applyFont="1" applyBorder="1" applyAlignment="1">
      <alignment horizontal="left" vertical="center" wrapText="1"/>
    </xf>
    <xf numFmtId="0" fontId="107" fillId="38" borderId="58" xfId="72" applyFont="1" applyFill="1" applyBorder="1" applyAlignment="1">
      <alignment horizontal="center" vertical="center"/>
    </xf>
    <xf numFmtId="0" fontId="107" fillId="38" borderId="3" xfId="72" applyFont="1" applyFill="1" applyBorder="1" applyAlignment="1">
      <alignment horizontal="center" vertical="center"/>
    </xf>
    <xf numFmtId="0" fontId="107" fillId="38" borderId="61" xfId="72" applyFont="1" applyFill="1" applyBorder="1" applyAlignment="1">
      <alignment horizontal="center" vertical="center"/>
    </xf>
    <xf numFmtId="0" fontId="107" fillId="44" borderId="18" xfId="72" applyFont="1" applyFill="1" applyBorder="1" applyAlignment="1">
      <alignment horizontal="center" vertical="center"/>
    </xf>
    <xf numFmtId="0" fontId="107" fillId="44" borderId="0" xfId="72" applyFont="1" applyFill="1" applyBorder="1" applyAlignment="1">
      <alignment horizontal="center" vertical="center"/>
    </xf>
    <xf numFmtId="0" fontId="107" fillId="44" borderId="15" xfId="72" applyFont="1" applyFill="1" applyBorder="1" applyAlignment="1">
      <alignment horizontal="center" vertical="center"/>
    </xf>
    <xf numFmtId="0" fontId="23" fillId="0" borderId="0" xfId="0" applyFont="1" applyBorder="1" applyAlignment="1">
      <alignment vertical="center" wrapText="1"/>
    </xf>
    <xf numFmtId="0" fontId="90" fillId="0" borderId="39" xfId="72" applyFont="1" applyBorder="1" applyAlignment="1">
      <alignment horizontal="left" vertical="center"/>
    </xf>
    <xf numFmtId="0" fontId="56" fillId="0" borderId="0" xfId="0" applyFont="1" applyBorder="1" applyAlignment="1">
      <alignment vertical="center" wrapText="1"/>
    </xf>
    <xf numFmtId="0" fontId="56" fillId="0" borderId="15" xfId="0" applyFont="1" applyBorder="1" applyAlignment="1">
      <alignment vertical="center" wrapText="1"/>
    </xf>
    <xf numFmtId="0" fontId="90" fillId="0" borderId="0" xfId="72" applyFont="1" applyBorder="1" applyAlignment="1">
      <alignment horizontal="left" vertical="center"/>
    </xf>
    <xf numFmtId="0" fontId="107" fillId="37" borderId="56" xfId="72" applyFont="1" applyFill="1" applyBorder="1" applyAlignment="1">
      <alignment horizontal="center" vertical="center"/>
    </xf>
    <xf numFmtId="0" fontId="107" fillId="37" borderId="66" xfId="72" applyFont="1" applyFill="1" applyBorder="1" applyAlignment="1">
      <alignment horizontal="center" vertical="center"/>
    </xf>
    <xf numFmtId="0" fontId="107" fillId="37" borderId="63" xfId="72" applyFont="1" applyFill="1" applyBorder="1" applyAlignment="1">
      <alignment horizontal="center" vertical="center"/>
    </xf>
    <xf numFmtId="0" fontId="16" fillId="0" borderId="83" xfId="72" applyFont="1" applyBorder="1" applyAlignment="1">
      <alignment horizontal="center" vertical="center"/>
    </xf>
    <xf numFmtId="0" fontId="16" fillId="0" borderId="33" xfId="72" applyFont="1" applyBorder="1" applyAlignment="1">
      <alignment horizontal="center" vertical="center"/>
    </xf>
    <xf numFmtId="0" fontId="16" fillId="0" borderId="37" xfId="72" applyFont="1" applyBorder="1" applyAlignment="1">
      <alignment horizontal="center" vertical="center"/>
    </xf>
    <xf numFmtId="0" fontId="21" fillId="0" borderId="45" xfId="72" applyFont="1" applyBorder="1" applyAlignment="1">
      <alignment horizontal="center" vertical="center" wrapText="1"/>
    </xf>
    <xf numFmtId="0" fontId="21" fillId="0" borderId="30" xfId="72" applyFont="1" applyBorder="1" applyAlignment="1">
      <alignment horizontal="center" vertical="center"/>
    </xf>
    <xf numFmtId="0" fontId="21" fillId="0" borderId="4" xfId="72" applyFont="1" applyBorder="1" applyAlignment="1">
      <alignment horizontal="center" vertical="center"/>
    </xf>
    <xf numFmtId="0" fontId="21" fillId="0" borderId="21" xfId="72" applyFont="1" applyBorder="1" applyAlignment="1">
      <alignment horizontal="center" vertical="center"/>
    </xf>
    <xf numFmtId="0" fontId="72" fillId="0" borderId="18" xfId="0" applyFont="1" applyBorder="1" applyAlignment="1">
      <alignment horizontal="center"/>
    </xf>
    <xf numFmtId="0" fontId="160" fillId="0" borderId="18" xfId="0" applyFont="1" applyBorder="1" applyAlignment="1">
      <alignment horizontal="center"/>
    </xf>
    <xf numFmtId="0" fontId="72" fillId="0" borderId="19" xfId="0" applyFont="1" applyBorder="1" applyAlignment="1">
      <alignment horizontal="center"/>
    </xf>
    <xf numFmtId="0" fontId="21" fillId="0" borderId="20" xfId="72" applyFont="1" applyBorder="1" applyAlignment="1">
      <alignment horizontal="center" vertical="center"/>
    </xf>
    <xf numFmtId="0" fontId="21" fillId="0" borderId="13" xfId="72" applyFont="1" applyBorder="1" applyAlignment="1">
      <alignment horizontal="center" vertical="center"/>
    </xf>
    <xf numFmtId="2" fontId="21" fillId="0" borderId="20" xfId="72" applyNumberFormat="1" applyFont="1" applyBorder="1" applyAlignment="1">
      <alignment horizontal="center" vertical="center" wrapText="1"/>
    </xf>
    <xf numFmtId="2" fontId="21" fillId="0" borderId="13" xfId="72" applyNumberFormat="1" applyFont="1" applyBorder="1" applyAlignment="1">
      <alignment horizontal="center" vertical="center" wrapText="1"/>
    </xf>
    <xf numFmtId="0" fontId="21" fillId="0" borderId="20" xfId="72" applyFont="1" applyBorder="1" applyAlignment="1">
      <alignment horizontal="center" vertical="center" wrapText="1"/>
    </xf>
    <xf numFmtId="0" fontId="21" fillId="0" borderId="13" xfId="72" applyFont="1" applyBorder="1" applyAlignment="1">
      <alignment horizontal="center" vertical="center" wrapText="1"/>
    </xf>
    <xf numFmtId="0" fontId="55" fillId="0" borderId="64" xfId="72" applyFont="1" applyBorder="1" applyAlignment="1">
      <alignment horizontal="left" vertical="center"/>
    </xf>
    <xf numFmtId="0" fontId="55" fillId="0" borderId="22" xfId="72" applyFont="1" applyBorder="1" applyAlignment="1">
      <alignment horizontal="left" vertical="center"/>
    </xf>
    <xf numFmtId="0" fontId="55" fillId="0" borderId="65" xfId="72" applyFont="1" applyBorder="1" applyAlignment="1">
      <alignment horizontal="left" vertical="center"/>
    </xf>
    <xf numFmtId="0" fontId="55" fillId="0" borderId="18" xfId="72" applyFont="1" applyBorder="1" applyAlignment="1">
      <alignment horizontal="left" vertical="center"/>
    </xf>
    <xf numFmtId="0" fontId="55" fillId="0" borderId="0" xfId="72" applyFont="1" applyBorder="1" applyAlignment="1">
      <alignment horizontal="left" vertical="center"/>
    </xf>
    <xf numFmtId="0" fontId="55" fillId="0" borderId="15" xfId="72" applyFont="1" applyBorder="1" applyAlignment="1">
      <alignment horizontal="left" vertical="center"/>
    </xf>
    <xf numFmtId="0" fontId="107" fillId="37" borderId="58" xfId="0" applyFont="1" applyFill="1" applyBorder="1" applyAlignment="1">
      <alignment horizontal="center" vertical="center"/>
    </xf>
    <xf numFmtId="0" fontId="107" fillId="37" borderId="3" xfId="0" applyFont="1" applyFill="1" applyBorder="1" applyAlignment="1">
      <alignment horizontal="center" vertical="center"/>
    </xf>
    <xf numFmtId="0" fontId="107" fillId="37" borderId="61" xfId="0" applyFont="1" applyFill="1" applyBorder="1" applyAlignment="1">
      <alignment horizontal="center" vertical="center"/>
    </xf>
    <xf numFmtId="0" fontId="87" fillId="37" borderId="58" xfId="0" applyFont="1" applyFill="1" applyBorder="1" applyAlignment="1">
      <alignment horizontal="center" vertical="center" wrapText="1"/>
    </xf>
    <xf numFmtId="0" fontId="87" fillId="37" borderId="3" xfId="0" applyFont="1" applyFill="1" applyBorder="1" applyAlignment="1">
      <alignment horizontal="center" vertical="center" wrapText="1"/>
    </xf>
    <xf numFmtId="0" fontId="87" fillId="37" borderId="61" xfId="0" applyFont="1" applyFill="1" applyBorder="1" applyAlignment="1">
      <alignment horizontal="center" vertical="center" wrapText="1"/>
    </xf>
    <xf numFmtId="17" fontId="21" fillId="0" borderId="30" xfId="0" quotePrefix="1" applyNumberFormat="1" applyFont="1" applyBorder="1" applyAlignment="1">
      <alignment horizontal="center" vertical="center"/>
    </xf>
    <xf numFmtId="17" fontId="21" fillId="0" borderId="21" xfId="0" quotePrefix="1" applyNumberFormat="1" applyFont="1" applyBorder="1" applyAlignment="1">
      <alignment horizontal="center" vertical="center"/>
    </xf>
    <xf numFmtId="0" fontId="21" fillId="0" borderId="30" xfId="0" quotePrefix="1" applyFont="1" applyBorder="1" applyAlignment="1">
      <alignment horizontal="center" vertical="center"/>
    </xf>
    <xf numFmtId="0" fontId="21" fillId="0" borderId="21" xfId="0" quotePrefix="1" applyFont="1" applyBorder="1" applyAlignment="1">
      <alignment horizontal="center" vertical="center"/>
    </xf>
    <xf numFmtId="17" fontId="21" fillId="0" borderId="30" xfId="0" applyNumberFormat="1" applyFont="1" applyBorder="1" applyAlignment="1">
      <alignment horizontal="center" vertical="center"/>
    </xf>
    <xf numFmtId="17" fontId="21" fillId="0" borderId="21" xfId="0" applyNumberFormat="1" applyFont="1" applyBorder="1" applyAlignment="1">
      <alignment horizontal="center" vertical="center"/>
    </xf>
    <xf numFmtId="0" fontId="107" fillId="37" borderId="58" xfId="0" applyFont="1" applyFill="1" applyBorder="1" applyAlignment="1">
      <alignment horizontal="center" vertical="center" wrapText="1"/>
    </xf>
    <xf numFmtId="0" fontId="107" fillId="37" borderId="3" xfId="0" applyFont="1" applyFill="1" applyBorder="1" applyAlignment="1">
      <alignment horizontal="center" vertical="center" wrapText="1"/>
    </xf>
    <xf numFmtId="0" fontId="107" fillId="37" borderId="61" xfId="0" applyFont="1" applyFill="1" applyBorder="1" applyAlignment="1">
      <alignment horizontal="center" vertical="center" wrapText="1"/>
    </xf>
    <xf numFmtId="17" fontId="21" fillId="0" borderId="21" xfId="0" quotePrefix="1" applyNumberFormat="1" applyFont="1" applyBorder="1" applyAlignment="1">
      <alignment horizontal="center"/>
    </xf>
    <xf numFmtId="0" fontId="21" fillId="0" borderId="30" xfId="0" applyFont="1" applyBorder="1" applyAlignment="1">
      <alignment horizontal="center"/>
    </xf>
    <xf numFmtId="0" fontId="21" fillId="0" borderId="21" xfId="0" quotePrefix="1" applyFont="1" applyBorder="1" applyAlignment="1">
      <alignment horizontal="center"/>
    </xf>
    <xf numFmtId="0" fontId="13" fillId="0" borderId="0" xfId="0" applyFont="1" applyFill="1" applyBorder="1" applyAlignment="1">
      <alignment horizontal="center"/>
    </xf>
    <xf numFmtId="0" fontId="13" fillId="0" borderId="0" xfId="0" applyFont="1" applyFill="1" applyBorder="1" applyAlignment="1"/>
    <xf numFmtId="2" fontId="13" fillId="0" borderId="0" xfId="0" applyNumberFormat="1" applyFont="1" applyFill="1" applyBorder="1" applyAlignment="1">
      <alignment horizontal="center"/>
    </xf>
    <xf numFmtId="0" fontId="253" fillId="37" borderId="58" xfId="0" applyFont="1" applyFill="1" applyBorder="1" applyAlignment="1">
      <alignment horizontal="center" vertical="center" wrapText="1"/>
    </xf>
    <xf numFmtId="0" fontId="253" fillId="37" borderId="3" xfId="0" applyFont="1" applyFill="1" applyBorder="1" applyAlignment="1">
      <alignment horizontal="center" vertical="center" wrapText="1"/>
    </xf>
    <xf numFmtId="0" fontId="253" fillId="37" borderId="61" xfId="0" applyFont="1" applyFill="1" applyBorder="1" applyAlignment="1">
      <alignment horizontal="center" vertical="center" wrapText="1"/>
    </xf>
    <xf numFmtId="0" fontId="13" fillId="0" borderId="30" xfId="0" applyFont="1" applyFill="1" applyBorder="1" applyAlignment="1">
      <alignment horizontal="center"/>
    </xf>
    <xf numFmtId="0" fontId="13" fillId="0" borderId="21" xfId="0" applyFont="1" applyFill="1" applyBorder="1" applyAlignment="1">
      <alignment horizontal="center"/>
    </xf>
    <xf numFmtId="0" fontId="13" fillId="0" borderId="28" xfId="0" applyFont="1" applyFill="1" applyBorder="1" applyAlignment="1">
      <alignment horizontal="center"/>
    </xf>
    <xf numFmtId="0" fontId="13" fillId="0" borderId="49" xfId="0" applyFont="1" applyFill="1" applyBorder="1" applyAlignment="1">
      <alignment horizontal="center"/>
    </xf>
    <xf numFmtId="17" fontId="13" fillId="32" borderId="30" xfId="0" quotePrefix="1" applyNumberFormat="1" applyFont="1" applyFill="1" applyBorder="1" applyAlignment="1">
      <alignment horizontal="center" vertical="center"/>
    </xf>
    <xf numFmtId="17" fontId="13" fillId="32" borderId="4" xfId="0" quotePrefix="1" applyNumberFormat="1" applyFont="1" applyFill="1" applyBorder="1" applyAlignment="1">
      <alignment horizontal="center" vertical="center"/>
    </xf>
    <xf numFmtId="0" fontId="13" fillId="32" borderId="21"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13" xfId="0" applyFont="1" applyFill="1" applyBorder="1" applyAlignment="1"/>
    <xf numFmtId="165" fontId="13" fillId="0" borderId="28" xfId="0" quotePrefix="1" applyNumberFormat="1" applyFont="1" applyFill="1" applyBorder="1" applyAlignment="1">
      <alignment horizontal="center" vertical="center" wrapText="1"/>
    </xf>
    <xf numFmtId="165" fontId="13" fillId="0" borderId="49" xfId="0" quotePrefix="1" applyNumberFormat="1" applyFont="1" applyFill="1" applyBorder="1" applyAlignment="1">
      <alignment horizontal="center" vertical="center" wrapText="1"/>
    </xf>
    <xf numFmtId="0" fontId="13" fillId="0" borderId="24" xfId="0" applyFont="1" applyFill="1" applyBorder="1" applyAlignment="1">
      <alignment horizontal="center" wrapText="1"/>
    </xf>
    <xf numFmtId="0" fontId="13" fillId="0" borderId="14" xfId="0" applyFont="1" applyFill="1" applyBorder="1" applyAlignment="1">
      <alignment horizontal="center" wrapText="1"/>
    </xf>
    <xf numFmtId="0" fontId="52" fillId="0" borderId="58" xfId="58" applyFont="1" applyFill="1" applyBorder="1" applyAlignment="1">
      <alignment horizontal="center" vertical="center"/>
    </xf>
    <xf numFmtId="0" fontId="52" fillId="0" borderId="3" xfId="58" applyFont="1" applyFill="1" applyBorder="1" applyAlignment="1">
      <alignment horizontal="center" vertical="center"/>
    </xf>
    <xf numFmtId="0" fontId="52" fillId="0" borderId="61" xfId="58" applyFont="1" applyFill="1" applyBorder="1" applyAlignment="1">
      <alignment horizontal="center" vertical="center"/>
    </xf>
    <xf numFmtId="0" fontId="67" fillId="0" borderId="8" xfId="0" applyFont="1" applyBorder="1" applyAlignment="1">
      <alignment horizontal="left" vertical="top" wrapText="1"/>
    </xf>
    <xf numFmtId="0" fontId="21" fillId="0" borderId="0" xfId="0" applyFont="1" applyBorder="1" applyAlignment="1">
      <alignment horizontal="left" vertical="top" wrapText="1" indent="1"/>
    </xf>
    <xf numFmtId="0" fontId="0" fillId="0" borderId="0" xfId="0" applyBorder="1" applyAlignment="1">
      <alignment horizontal="left" vertical="top" wrapText="1" indent="1"/>
    </xf>
    <xf numFmtId="0" fontId="21" fillId="0" borderId="22" xfId="0" applyFont="1" applyBorder="1" applyAlignment="1">
      <alignment horizontal="left" vertical="top"/>
    </xf>
    <xf numFmtId="0" fontId="108" fillId="37" borderId="41" xfId="0" applyFont="1" applyFill="1" applyBorder="1" applyAlignment="1">
      <alignment horizontal="center" vertical="center"/>
    </xf>
    <xf numFmtId="0" fontId="108" fillId="37" borderId="8" xfId="0" applyFont="1" applyFill="1" applyBorder="1" applyAlignment="1">
      <alignment horizontal="center" vertical="center"/>
    </xf>
    <xf numFmtId="0" fontId="108" fillId="37" borderId="45" xfId="0" applyFont="1" applyFill="1" applyBorder="1" applyAlignment="1">
      <alignment horizontal="center" vertical="center"/>
    </xf>
    <xf numFmtId="0" fontId="21" fillId="0" borderId="0" xfId="0" applyFont="1" applyBorder="1" applyAlignment="1">
      <alignment horizontal="left" wrapText="1" indent="1"/>
    </xf>
    <xf numFmtId="0" fontId="0" fillId="0" borderId="0" xfId="0" applyBorder="1" applyAlignment="1">
      <alignment horizontal="left" wrapText="1" indent="1"/>
    </xf>
    <xf numFmtId="0" fontId="21" fillId="0" borderId="20"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8" xfId="0" applyFont="1" applyBorder="1" applyAlignment="1">
      <alignment horizontal="center" wrapText="1"/>
    </xf>
    <xf numFmtId="0" fontId="107" fillId="38" borderId="38" xfId="0" applyFont="1" applyFill="1" applyBorder="1" applyAlignment="1">
      <alignment horizontal="center" vertical="center"/>
    </xf>
    <xf numFmtId="0" fontId="107" fillId="38" borderId="39" xfId="0" applyFont="1" applyFill="1" applyBorder="1" applyAlignment="1">
      <alignment horizontal="center" vertical="center"/>
    </xf>
    <xf numFmtId="0" fontId="107" fillId="38" borderId="40" xfId="0" applyFont="1" applyFill="1" applyBorder="1" applyAlignment="1">
      <alignment horizontal="center" vertical="center"/>
    </xf>
    <xf numFmtId="0" fontId="108" fillId="38" borderId="56" xfId="0" applyFont="1" applyFill="1" applyBorder="1" applyAlignment="1">
      <alignment horizontal="center" vertical="center" wrapText="1"/>
    </xf>
    <xf numFmtId="0" fontId="108" fillId="38" borderId="66" xfId="0" applyFont="1" applyFill="1" applyBorder="1" applyAlignment="1">
      <alignment horizontal="center" vertical="center" wrapText="1"/>
    </xf>
    <xf numFmtId="0" fontId="108" fillId="38" borderId="63" xfId="0" applyFont="1" applyFill="1" applyBorder="1" applyAlignment="1">
      <alignment horizontal="center" vertical="center" wrapText="1"/>
    </xf>
    <xf numFmtId="0" fontId="129" fillId="0" borderId="8" xfId="0" applyFont="1" applyBorder="1" applyAlignment="1">
      <alignment horizontal="center" vertical="top"/>
    </xf>
    <xf numFmtId="2" fontId="20" fillId="0" borderId="8" xfId="0" applyNumberFormat="1" applyFont="1" applyFill="1" applyBorder="1" applyAlignment="1">
      <alignment horizontal="center" vertical="top"/>
    </xf>
    <xf numFmtId="0" fontId="20" fillId="0" borderId="8" xfId="0" applyFont="1" applyFill="1" applyBorder="1" applyAlignment="1">
      <alignment horizontal="center" vertical="top"/>
    </xf>
    <xf numFmtId="0" fontId="128" fillId="0" borderId="8" xfId="0" applyFont="1" applyFill="1" applyBorder="1" applyAlignment="1">
      <alignment horizontal="center" vertical="top" wrapText="1"/>
    </xf>
    <xf numFmtId="0" fontId="54" fillId="0" borderId="8" xfId="0" applyFont="1" applyBorder="1" applyAlignment="1">
      <alignment horizontal="center" vertical="top"/>
    </xf>
    <xf numFmtId="0" fontId="0" fillId="0" borderId="8" xfId="0" applyBorder="1" applyAlignment="1">
      <alignment horizontal="center" vertical="top"/>
    </xf>
    <xf numFmtId="0" fontId="231" fillId="0" borderId="0" xfId="0" applyFont="1" applyBorder="1" applyAlignment="1">
      <alignment horizontal="left" wrapText="1"/>
    </xf>
    <xf numFmtId="0" fontId="91" fillId="0" borderId="0" xfId="0" applyFont="1" applyBorder="1" applyAlignment="1">
      <alignment horizontal="center" wrapText="1"/>
    </xf>
    <xf numFmtId="0" fontId="21" fillId="53" borderId="49" xfId="0" applyFont="1" applyFill="1" applyBorder="1" applyAlignment="1">
      <alignment horizontal="right" wrapText="1"/>
    </xf>
    <xf numFmtId="0" fontId="21" fillId="53" borderId="45" xfId="0" applyFont="1" applyFill="1" applyBorder="1" applyAlignment="1">
      <alignment horizontal="right" wrapText="1"/>
    </xf>
    <xf numFmtId="0" fontId="21" fillId="53" borderId="30" xfId="0" applyFont="1" applyFill="1" applyBorder="1" applyAlignment="1">
      <alignment horizontal="center"/>
    </xf>
    <xf numFmtId="0" fontId="21" fillId="53" borderId="21" xfId="0" applyFont="1" applyFill="1" applyBorder="1" applyAlignment="1">
      <alignment horizontal="center"/>
    </xf>
    <xf numFmtId="0" fontId="21" fillId="53" borderId="77" xfId="0" applyFont="1" applyFill="1" applyBorder="1" applyAlignment="1">
      <alignment horizontal="center"/>
    </xf>
    <xf numFmtId="0" fontId="217" fillId="49" borderId="38" xfId="0" applyFont="1" applyFill="1" applyBorder="1" applyAlignment="1">
      <alignment horizontal="center"/>
    </xf>
    <xf numFmtId="0" fontId="217" fillId="49" borderId="39" xfId="0" applyFont="1" applyFill="1" applyBorder="1" applyAlignment="1">
      <alignment horizontal="center"/>
    </xf>
    <xf numFmtId="0" fontId="217" fillId="49" borderId="40" xfId="0" applyFont="1" applyFill="1" applyBorder="1" applyAlignment="1">
      <alignment horizontal="center"/>
    </xf>
    <xf numFmtId="0" fontId="103" fillId="38" borderId="38" xfId="0" applyFont="1" applyFill="1" applyBorder="1" applyAlignment="1">
      <alignment horizontal="center" vertical="center" wrapText="1"/>
    </xf>
    <xf numFmtId="0" fontId="103" fillId="38" borderId="39" xfId="0" applyFont="1" applyFill="1" applyBorder="1" applyAlignment="1">
      <alignment horizontal="center" vertical="center" wrapText="1"/>
    </xf>
    <xf numFmtId="0" fontId="103" fillId="38" borderId="40" xfId="0" applyFont="1" applyFill="1" applyBorder="1" applyAlignment="1">
      <alignment horizontal="center" vertical="center" wrapText="1"/>
    </xf>
    <xf numFmtId="0" fontId="57" fillId="0" borderId="8" xfId="0" applyFont="1" applyBorder="1" applyAlignment="1">
      <alignment horizontal="center" vertical="center"/>
    </xf>
    <xf numFmtId="0" fontId="57" fillId="0" borderId="8" xfId="0" applyFont="1" applyBorder="1" applyAlignment="1">
      <alignment horizontal="center" wrapText="1"/>
    </xf>
    <xf numFmtId="0" fontId="57" fillId="0" borderId="8" xfId="0" applyFont="1" applyBorder="1" applyAlignment="1">
      <alignment horizontal="center"/>
    </xf>
    <xf numFmtId="17" fontId="57" fillId="0" borderId="8" xfId="0" applyNumberFormat="1" applyFont="1" applyBorder="1" applyAlignment="1">
      <alignment horizontal="center"/>
    </xf>
    <xf numFmtId="0" fontId="158" fillId="0" borderId="8" xfId="0" applyFont="1" applyBorder="1" applyAlignment="1">
      <alignment horizontal="center" vertical="center"/>
    </xf>
    <xf numFmtId="0" fontId="101" fillId="38" borderId="18" xfId="0" applyFont="1" applyFill="1" applyBorder="1" applyAlignment="1">
      <alignment horizontal="center" vertical="center"/>
    </xf>
    <xf numFmtId="0" fontId="101" fillId="38" borderId="0" xfId="0" applyFont="1" applyFill="1" applyBorder="1" applyAlignment="1">
      <alignment horizontal="center" vertical="center"/>
    </xf>
    <xf numFmtId="0" fontId="101" fillId="38" borderId="15" xfId="0" applyFont="1" applyFill="1" applyBorder="1" applyAlignment="1">
      <alignment horizontal="center" vertical="center"/>
    </xf>
    <xf numFmtId="0" fontId="17" fillId="0" borderId="0" xfId="0" applyFont="1" applyBorder="1" applyAlignment="1">
      <alignment wrapText="1"/>
    </xf>
    <xf numFmtId="0" fontId="17" fillId="0" borderId="15" xfId="0" applyFont="1" applyBorder="1" applyAlignment="1">
      <alignment wrapText="1"/>
    </xf>
    <xf numFmtId="0" fontId="222" fillId="51" borderId="113" xfId="0" applyFont="1" applyFill="1" applyBorder="1" applyAlignment="1">
      <alignment horizontal="center" vertical="center" wrapText="1"/>
    </xf>
    <xf numFmtId="0" fontId="222" fillId="52" borderId="126" xfId="0" applyFont="1" applyFill="1" applyBorder="1" applyAlignment="1">
      <alignment horizontal="center" vertical="center" wrapText="1"/>
    </xf>
    <xf numFmtId="0" fontId="222" fillId="52" borderId="113" xfId="0" applyFont="1" applyFill="1" applyBorder="1" applyAlignment="1">
      <alignment horizontal="center" vertical="center" wrapText="1"/>
    </xf>
    <xf numFmtId="0" fontId="222" fillId="52" borderId="118" xfId="0" applyFont="1" applyFill="1" applyBorder="1" applyAlignment="1">
      <alignment horizontal="center" vertical="center" wrapText="1"/>
    </xf>
    <xf numFmtId="0" fontId="222" fillId="51" borderId="126" xfId="0" applyFont="1" applyFill="1" applyBorder="1" applyAlignment="1">
      <alignment horizontal="center" vertical="center" wrapText="1"/>
    </xf>
    <xf numFmtId="0" fontId="222" fillId="51" borderId="127" xfId="0" applyFont="1" applyFill="1" applyBorder="1" applyAlignment="1">
      <alignment horizontal="center" vertical="center" wrapText="1"/>
    </xf>
    <xf numFmtId="0" fontId="220" fillId="0" borderId="0" xfId="0" applyFont="1" applyAlignment="1">
      <alignment horizontal="center" vertical="center" wrapText="1"/>
    </xf>
    <xf numFmtId="0" fontId="220" fillId="0" borderId="0" xfId="0" applyFont="1" applyAlignment="1">
      <alignment horizontal="right"/>
    </xf>
    <xf numFmtId="0" fontId="19" fillId="50" borderId="107" xfId="0" applyFont="1" applyFill="1" applyBorder="1" applyAlignment="1">
      <alignment horizontal="center" vertical="center"/>
    </xf>
    <xf numFmtId="0" fontId="19" fillId="50" borderId="113" xfId="0" applyFont="1" applyFill="1" applyBorder="1" applyAlignment="1">
      <alignment horizontal="center" vertical="center"/>
    </xf>
    <xf numFmtId="0" fontId="19" fillId="50" borderId="118" xfId="0" applyFont="1" applyFill="1" applyBorder="1" applyAlignment="1">
      <alignment horizontal="center" vertical="center"/>
    </xf>
    <xf numFmtId="0" fontId="19" fillId="50" borderId="108" xfId="0" applyFont="1" applyFill="1" applyBorder="1" applyAlignment="1">
      <alignment horizontal="center" vertical="center" wrapText="1"/>
    </xf>
    <xf numFmtId="0" fontId="19" fillId="50" borderId="114" xfId="0" applyFont="1" applyFill="1" applyBorder="1" applyAlignment="1">
      <alignment horizontal="center" vertical="center" wrapText="1"/>
    </xf>
    <xf numFmtId="0" fontId="19" fillId="50" borderId="119" xfId="0" applyFont="1" applyFill="1" applyBorder="1" applyAlignment="1">
      <alignment horizontal="center" vertical="center" wrapText="1"/>
    </xf>
    <xf numFmtId="0" fontId="19" fillId="50" borderId="109" xfId="0" applyFont="1" applyFill="1" applyBorder="1" applyAlignment="1">
      <alignment horizontal="center" vertical="top"/>
    </xf>
    <xf numFmtId="0" fontId="19" fillId="50" borderId="110" xfId="0" applyFont="1" applyFill="1" applyBorder="1" applyAlignment="1">
      <alignment horizontal="center" vertical="top"/>
    </xf>
    <xf numFmtId="0" fontId="19" fillId="50" borderId="111" xfId="0" applyFont="1" applyFill="1" applyBorder="1" applyAlignment="1">
      <alignment horizontal="center" vertical="top"/>
    </xf>
    <xf numFmtId="0" fontId="19" fillId="50" borderId="112" xfId="0" applyFont="1" applyFill="1" applyBorder="1" applyAlignment="1">
      <alignment horizontal="center" vertical="center" wrapText="1"/>
    </xf>
    <xf numFmtId="0" fontId="19" fillId="50" borderId="117" xfId="0" applyFont="1" applyFill="1" applyBorder="1" applyAlignment="1">
      <alignment horizontal="center" vertical="center" wrapText="1"/>
    </xf>
    <xf numFmtId="0" fontId="19" fillId="50" borderId="121" xfId="0" applyFont="1" applyFill="1" applyBorder="1" applyAlignment="1">
      <alignment horizontal="center" vertical="center" wrapText="1"/>
    </xf>
    <xf numFmtId="0" fontId="19" fillId="50" borderId="141" xfId="0" applyFont="1" applyFill="1" applyBorder="1" applyAlignment="1">
      <alignment horizontal="center" vertical="center"/>
    </xf>
    <xf numFmtId="0" fontId="19" fillId="50" borderId="115" xfId="0" applyFont="1" applyFill="1" applyBorder="1" applyAlignment="1">
      <alignment horizontal="center" vertical="center"/>
    </xf>
    <xf numFmtId="0" fontId="19" fillId="50" borderId="142" xfId="0" applyFont="1" applyFill="1" applyBorder="1" applyAlignment="1">
      <alignment horizontal="center" vertical="center"/>
    </xf>
    <xf numFmtId="0" fontId="19" fillId="50" borderId="143" xfId="0" applyFont="1" applyFill="1" applyBorder="1" applyAlignment="1">
      <alignment horizontal="center" vertical="center" wrapText="1"/>
    </xf>
    <xf numFmtId="0" fontId="19" fillId="50" borderId="141" xfId="0" applyFont="1" applyFill="1" applyBorder="1" applyAlignment="1">
      <alignment horizontal="center" vertical="center" wrapText="1"/>
    </xf>
    <xf numFmtId="2" fontId="19" fillId="50" borderId="116" xfId="0" applyNumberFormat="1" applyFont="1" applyFill="1" applyBorder="1" applyAlignment="1">
      <alignment horizontal="center" vertical="center" wrapText="1"/>
    </xf>
    <xf numFmtId="2" fontId="19" fillId="50" borderId="119" xfId="0" applyNumberFormat="1" applyFont="1" applyFill="1" applyBorder="1" applyAlignment="1">
      <alignment horizontal="center" vertical="center" wrapText="1"/>
    </xf>
    <xf numFmtId="0" fontId="19" fillId="54" borderId="152" xfId="0" applyFont="1" applyFill="1" applyBorder="1" applyAlignment="1">
      <alignment horizontal="center" vertical="center" wrapText="1"/>
    </xf>
    <xf numFmtId="0" fontId="19" fillId="54" borderId="125" xfId="0" applyFont="1" applyFill="1" applyBorder="1" applyAlignment="1">
      <alignment horizontal="center" vertical="center" wrapText="1"/>
    </xf>
    <xf numFmtId="0" fontId="222" fillId="52" borderId="127" xfId="0" applyFont="1" applyFill="1" applyBorder="1" applyAlignment="1">
      <alignment horizontal="center" vertical="center" wrapText="1"/>
    </xf>
    <xf numFmtId="0" fontId="223" fillId="0" borderId="0" xfId="0" applyFont="1" applyAlignment="1">
      <alignment horizontal="center" vertical="center" wrapText="1"/>
    </xf>
    <xf numFmtId="2" fontId="220" fillId="0" borderId="0" xfId="0" applyNumberFormat="1" applyFont="1" applyAlignment="1">
      <alignment horizontal="right"/>
    </xf>
    <xf numFmtId="0" fontId="19" fillId="50" borderId="30" xfId="0" applyFont="1" applyFill="1" applyBorder="1" applyAlignment="1">
      <alignment horizontal="left" vertical="center"/>
    </xf>
    <xf numFmtId="0" fontId="19" fillId="50" borderId="135" xfId="0" applyFont="1" applyFill="1" applyBorder="1" applyAlignment="1">
      <alignment horizontal="left" vertical="center"/>
    </xf>
    <xf numFmtId="0" fontId="19" fillId="50" borderId="4" xfId="0" applyFont="1" applyFill="1" applyBorder="1" applyAlignment="1">
      <alignment horizontal="left" vertical="center"/>
    </xf>
    <xf numFmtId="0" fontId="22" fillId="0" borderId="0" xfId="0" applyFont="1" applyAlignment="1">
      <alignment horizontal="left"/>
    </xf>
    <xf numFmtId="0" fontId="22" fillId="0" borderId="0" xfId="0" applyFont="1" applyAlignment="1">
      <alignment horizontal="left" vertical="justify"/>
    </xf>
    <xf numFmtId="2" fontId="19" fillId="53" borderId="151" xfId="0" applyNumberFormat="1" applyFont="1" applyFill="1" applyBorder="1" applyAlignment="1">
      <alignment horizontal="right" vertical="center"/>
    </xf>
    <xf numFmtId="2" fontId="19" fillId="53" borderId="127" xfId="0" applyNumberFormat="1" applyFont="1" applyFill="1" applyBorder="1" applyAlignment="1">
      <alignment horizontal="right" vertical="center"/>
    </xf>
    <xf numFmtId="2" fontId="19" fillId="53" borderId="14" xfId="0" applyNumberFormat="1" applyFont="1" applyFill="1" applyBorder="1" applyAlignment="1">
      <alignment horizontal="right" vertical="center"/>
    </xf>
    <xf numFmtId="0" fontId="179" fillId="0" borderId="0" xfId="0" applyFont="1" applyAlignment="1">
      <alignment horizontal="left"/>
    </xf>
    <xf numFmtId="0" fontId="22" fillId="0" borderId="0" xfId="0" applyFont="1" applyAlignment="1">
      <alignment horizontal="left" wrapText="1"/>
    </xf>
    <xf numFmtId="0" fontId="19" fillId="50" borderId="144" xfId="0" applyFont="1" applyFill="1" applyBorder="1" applyAlignment="1">
      <alignment horizontal="center" vertical="center" wrapText="1"/>
    </xf>
    <xf numFmtId="0" fontId="19" fillId="50" borderId="147" xfId="0" applyFont="1" applyFill="1" applyBorder="1" applyAlignment="1">
      <alignment horizontal="center" vertical="center"/>
    </xf>
    <xf numFmtId="0" fontId="19" fillId="50" borderId="131" xfId="0" applyFont="1" applyFill="1" applyBorder="1" applyAlignment="1">
      <alignment horizontal="center" vertical="center"/>
    </xf>
    <xf numFmtId="0" fontId="19" fillId="50" borderId="148" xfId="0" applyFont="1" applyFill="1" applyBorder="1" applyAlignment="1">
      <alignment horizontal="center" vertical="center"/>
    </xf>
    <xf numFmtId="0" fontId="19" fillId="50" borderId="145" xfId="0" applyFont="1" applyFill="1" applyBorder="1" applyAlignment="1">
      <alignment horizontal="center" vertical="center"/>
    </xf>
    <xf numFmtId="0" fontId="19" fillId="50" borderId="146" xfId="0" applyFont="1" applyFill="1" applyBorder="1" applyAlignment="1">
      <alignment horizontal="center" vertical="center"/>
    </xf>
    <xf numFmtId="0" fontId="19" fillId="50" borderId="21" xfId="0" applyFont="1" applyFill="1" applyBorder="1" applyAlignment="1">
      <alignment horizontal="center" vertical="center" wrapText="1"/>
    </xf>
    <xf numFmtId="0" fontId="19" fillId="50" borderId="150" xfId="0" applyFont="1" applyFill="1" applyBorder="1" applyAlignment="1">
      <alignment horizontal="center" vertical="center"/>
    </xf>
    <xf numFmtId="0" fontId="19" fillId="50" borderId="121" xfId="0" applyFont="1" applyFill="1" applyBorder="1" applyAlignment="1">
      <alignment horizontal="center" vertical="center"/>
    </xf>
    <xf numFmtId="0" fontId="19" fillId="50" borderId="149" xfId="0" applyFont="1" applyFill="1" applyBorder="1" applyAlignment="1">
      <alignment horizontal="center" vertical="center"/>
    </xf>
    <xf numFmtId="0" fontId="219" fillId="0" borderId="0" xfId="0" applyFont="1" applyAlignment="1">
      <alignment horizontal="center" vertical="center" wrapText="1"/>
    </xf>
    <xf numFmtId="0" fontId="13" fillId="0" borderId="17" xfId="91" applyFont="1" applyFill="1" applyBorder="1" applyAlignment="1">
      <alignment horizontal="right"/>
    </xf>
    <xf numFmtId="0" fontId="53" fillId="46" borderId="82" xfId="91" applyFont="1" applyFill="1" applyBorder="1" applyAlignment="1">
      <alignment horizontal="center" vertical="center"/>
    </xf>
    <xf numFmtId="0" fontId="53" fillId="46" borderId="78" xfId="91" applyFont="1" applyFill="1" applyBorder="1" applyAlignment="1">
      <alignment horizontal="center" vertical="center"/>
    </xf>
    <xf numFmtId="0" fontId="53" fillId="46" borderId="79" xfId="91" applyFont="1" applyFill="1" applyBorder="1" applyAlignment="1">
      <alignment horizontal="center" vertical="center"/>
    </xf>
    <xf numFmtId="0" fontId="53" fillId="46" borderId="41" xfId="91" applyFont="1" applyFill="1" applyBorder="1" applyAlignment="1">
      <alignment horizontal="center" vertical="center"/>
    </xf>
    <xf numFmtId="0" fontId="53" fillId="46" borderId="8" xfId="91" applyFont="1" applyFill="1" applyBorder="1" applyAlignment="1">
      <alignment horizontal="center" vertical="center"/>
    </xf>
    <xf numFmtId="0" fontId="53" fillId="46" borderId="45" xfId="91" applyFont="1" applyFill="1" applyBorder="1" applyAlignment="1">
      <alignment horizontal="center" vertical="center"/>
    </xf>
    <xf numFmtId="0" fontId="192" fillId="46" borderId="82" xfId="91" applyFont="1" applyFill="1" applyBorder="1" applyAlignment="1">
      <alignment horizontal="center" vertical="center"/>
    </xf>
    <xf numFmtId="0" fontId="192" fillId="46" borderId="78" xfId="91" applyFont="1" applyFill="1" applyBorder="1" applyAlignment="1">
      <alignment horizontal="center" vertical="center"/>
    </xf>
    <xf numFmtId="0" fontId="192" fillId="46" borderId="79" xfId="91" applyFont="1" applyFill="1" applyBorder="1" applyAlignment="1">
      <alignment horizontal="center" vertical="center"/>
    </xf>
    <xf numFmtId="0" fontId="21" fillId="0" borderId="41" xfId="91" applyFont="1" applyFill="1" applyBorder="1" applyAlignment="1">
      <alignment horizontal="center" vertical="center"/>
    </xf>
    <xf numFmtId="0" fontId="21" fillId="0" borderId="45" xfId="91" applyFont="1" applyFill="1" applyBorder="1" applyAlignment="1">
      <alignment horizontal="center" vertical="center"/>
    </xf>
    <xf numFmtId="0" fontId="68" fillId="46" borderId="82" xfId="91" applyFont="1" applyFill="1" applyBorder="1" applyAlignment="1">
      <alignment horizontal="center" vertical="center" wrapText="1"/>
    </xf>
    <xf numFmtId="0" fontId="68" fillId="46" borderId="79" xfId="91" applyFont="1" applyFill="1" applyBorder="1" applyAlignment="1">
      <alignment horizontal="center" vertical="center"/>
    </xf>
    <xf numFmtId="0" fontId="68" fillId="46" borderId="41" xfId="91" applyFont="1" applyFill="1" applyBorder="1" applyAlignment="1">
      <alignment horizontal="center" vertical="center"/>
    </xf>
    <xf numFmtId="0" fontId="68" fillId="46" borderId="45" xfId="91" applyFont="1" applyFill="1" applyBorder="1" applyAlignment="1">
      <alignment horizontal="center" vertical="center"/>
    </xf>
    <xf numFmtId="1" fontId="53" fillId="46" borderId="56" xfId="91" applyNumberFormat="1" applyFont="1" applyFill="1" applyBorder="1" applyAlignment="1">
      <alignment horizontal="center" vertical="center"/>
    </xf>
    <xf numFmtId="1" fontId="53" fillId="46" borderId="66" xfId="91" applyNumberFormat="1" applyFont="1" applyFill="1" applyBorder="1" applyAlignment="1">
      <alignment horizontal="center" vertical="center"/>
    </xf>
    <xf numFmtId="1" fontId="53" fillId="46" borderId="63" xfId="91" applyNumberFormat="1" applyFont="1" applyFill="1" applyBorder="1" applyAlignment="1">
      <alignment horizontal="center" vertical="center"/>
    </xf>
    <xf numFmtId="0" fontId="89" fillId="30" borderId="0" xfId="0" applyFont="1" applyFill="1" applyBorder="1" applyAlignment="1" applyProtection="1">
      <alignment horizontal="left" vertical="top" wrapText="1"/>
    </xf>
    <xf numFmtId="0" fontId="249" fillId="30" borderId="0" xfId="0" applyFont="1" applyFill="1" applyBorder="1" applyAlignment="1" applyProtection="1">
      <alignment horizontal="center" vertical="top" wrapText="1"/>
    </xf>
    <xf numFmtId="0" fontId="89" fillId="30" borderId="8" xfId="0" applyFont="1" applyFill="1" applyBorder="1" applyAlignment="1" applyProtection="1">
      <alignment horizontal="left" vertical="top" wrapText="1"/>
    </xf>
    <xf numFmtId="0" fontId="89" fillId="30" borderId="206" xfId="0" applyFont="1" applyFill="1" applyBorder="1" applyAlignment="1" applyProtection="1">
      <alignment horizontal="left" vertical="top" wrapText="1"/>
    </xf>
    <xf numFmtId="0" fontId="89" fillId="30" borderId="202" xfId="0" applyFont="1" applyFill="1" applyBorder="1" applyAlignment="1" applyProtection="1">
      <alignment horizontal="left" vertical="top" wrapText="1"/>
    </xf>
    <xf numFmtId="0" fontId="89" fillId="30" borderId="207" xfId="0" applyFont="1" applyFill="1" applyBorder="1" applyAlignment="1" applyProtection="1">
      <alignment horizontal="left" vertical="top" wrapText="1"/>
    </xf>
    <xf numFmtId="0" fontId="21" fillId="0" borderId="8" xfId="91" applyFont="1" applyFill="1" applyBorder="1" applyAlignment="1">
      <alignment horizontal="center" vertical="center"/>
    </xf>
    <xf numFmtId="0" fontId="68" fillId="46" borderId="8" xfId="91" applyFont="1" applyFill="1" applyBorder="1" applyAlignment="1">
      <alignment horizontal="center" vertical="center" wrapText="1"/>
    </xf>
    <xf numFmtId="0" fontId="68" fillId="46" borderId="8" xfId="91" applyFont="1" applyFill="1" applyBorder="1" applyAlignment="1">
      <alignment horizontal="center" vertical="center"/>
    </xf>
    <xf numFmtId="0" fontId="192" fillId="46" borderId="8" xfId="91" applyFont="1" applyFill="1" applyBorder="1" applyAlignment="1">
      <alignment horizontal="center" vertical="center"/>
    </xf>
    <xf numFmtId="1" fontId="53" fillId="46" borderId="30" xfId="91" applyNumberFormat="1" applyFont="1" applyFill="1" applyBorder="1" applyAlignment="1">
      <alignment horizontal="center" vertical="center"/>
    </xf>
    <xf numFmtId="1" fontId="53" fillId="46" borderId="4" xfId="91" applyNumberFormat="1" applyFont="1" applyFill="1" applyBorder="1" applyAlignment="1">
      <alignment horizontal="center" vertical="center"/>
    </xf>
    <xf numFmtId="1" fontId="53" fillId="46" borderId="21" xfId="91" applyNumberFormat="1" applyFont="1" applyFill="1" applyBorder="1" applyAlignment="1">
      <alignment horizontal="center" vertical="center"/>
    </xf>
    <xf numFmtId="0" fontId="13" fillId="0" borderId="33" xfId="91" applyFont="1" applyFill="1" applyBorder="1" applyAlignment="1">
      <alignment horizontal="right"/>
    </xf>
    <xf numFmtId="0" fontId="89" fillId="30" borderId="206" xfId="0" applyFont="1" applyFill="1" applyBorder="1" applyAlignment="1" applyProtection="1">
      <alignment horizontal="center" vertical="top" wrapText="1"/>
    </xf>
    <xf numFmtId="0" fontId="251" fillId="30" borderId="206" xfId="0" applyFont="1" applyFill="1" applyBorder="1" applyAlignment="1" applyProtection="1">
      <alignment horizontal="left" vertical="top" wrapText="1"/>
    </xf>
    <xf numFmtId="0" fontId="21" fillId="0" borderId="0" xfId="0" applyFont="1" applyBorder="1" applyAlignment="1">
      <alignment horizontal="right" vertical="center"/>
    </xf>
    <xf numFmtId="0" fontId="21" fillId="0" borderId="15" xfId="0" applyFont="1" applyBorder="1" applyAlignment="1">
      <alignment horizontal="right" vertical="center"/>
    </xf>
    <xf numFmtId="0" fontId="114" fillId="39" borderId="58" xfId="0" applyFont="1" applyFill="1" applyBorder="1" applyAlignment="1">
      <alignment horizontal="center" vertical="center"/>
    </xf>
    <xf numFmtId="0" fontId="114" fillId="39" borderId="3" xfId="0" applyFont="1" applyFill="1" applyBorder="1" applyAlignment="1">
      <alignment horizontal="center" vertical="center"/>
    </xf>
    <xf numFmtId="0" fontId="114" fillId="39" borderId="61" xfId="0" applyFont="1" applyFill="1" applyBorder="1" applyAlignment="1">
      <alignment horizontal="center" vertical="center"/>
    </xf>
    <xf numFmtId="0" fontId="21" fillId="0" borderId="8" xfId="0" applyNumberFormat="1" applyFont="1" applyBorder="1" applyAlignment="1">
      <alignment horizontal="center" vertical="center"/>
    </xf>
    <xf numFmtId="0" fontId="101" fillId="38" borderId="58" xfId="0" applyFont="1" applyFill="1" applyBorder="1" applyAlignment="1">
      <alignment horizontal="center" vertical="center"/>
    </xf>
    <xf numFmtId="0" fontId="101" fillId="38" borderId="3" xfId="0" applyFont="1" applyFill="1" applyBorder="1" applyAlignment="1">
      <alignment horizontal="center" vertical="center"/>
    </xf>
    <xf numFmtId="0" fontId="101" fillId="38" borderId="61" xfId="0" applyFont="1" applyFill="1" applyBorder="1" applyAlignment="1">
      <alignment horizontal="center" vertical="center"/>
    </xf>
    <xf numFmtId="0" fontId="20" fillId="0" borderId="13" xfId="0" applyFont="1" applyBorder="1" applyAlignment="1">
      <alignment horizontal="center" vertical="center" wrapText="1"/>
    </xf>
    <xf numFmtId="0" fontId="21" fillId="0" borderId="20" xfId="0" applyFont="1" applyBorder="1" applyAlignment="1">
      <alignment horizontal="center" vertical="center"/>
    </xf>
    <xf numFmtId="0" fontId="21" fillId="0" borderId="13" xfId="0" applyFont="1" applyBorder="1" applyAlignment="1">
      <alignment horizontal="center" vertical="center"/>
    </xf>
    <xf numFmtId="0" fontId="91" fillId="0" borderId="0" xfId="0" applyFont="1" applyBorder="1" applyAlignment="1">
      <alignment horizontal="center"/>
    </xf>
    <xf numFmtId="0" fontId="44" fillId="0" borderId="0" xfId="59" applyFont="1" applyBorder="1" applyAlignment="1">
      <alignment horizontal="center"/>
    </xf>
    <xf numFmtId="17" fontId="21" fillId="0" borderId="28" xfId="0" applyNumberFormat="1" applyFont="1" applyBorder="1" applyAlignment="1">
      <alignment horizontal="center" vertical="center" wrapText="1"/>
    </xf>
    <xf numFmtId="0" fontId="21" fillId="0" borderId="22" xfId="0" applyFont="1" applyBorder="1" applyAlignment="1">
      <alignment horizontal="center" vertical="center" wrapText="1"/>
    </xf>
    <xf numFmtId="0" fontId="21" fillId="0" borderId="49" xfId="0" applyFont="1" applyBorder="1" applyAlignment="1">
      <alignment horizontal="center" vertical="center" wrapText="1"/>
    </xf>
    <xf numFmtId="0" fontId="169" fillId="0" borderId="0" xfId="0" applyFont="1" applyFill="1" applyAlignment="1">
      <alignment horizontal="center" vertical="center"/>
    </xf>
    <xf numFmtId="0" fontId="110" fillId="0" borderId="30" xfId="0" applyFont="1" applyFill="1" applyBorder="1" applyAlignment="1">
      <alignment horizontal="center" vertical="center"/>
    </xf>
    <xf numFmtId="0" fontId="110" fillId="0" borderId="4" xfId="0" applyFont="1" applyFill="1" applyBorder="1" applyAlignment="1">
      <alignment horizontal="center" vertical="center"/>
    </xf>
    <xf numFmtId="0" fontId="110" fillId="0" borderId="21" xfId="0" applyFont="1" applyFill="1" applyBorder="1" applyAlignment="1">
      <alignment horizontal="center" vertical="center"/>
    </xf>
    <xf numFmtId="0" fontId="22" fillId="0" borderId="0" xfId="0" applyFont="1" applyFill="1" applyAlignment="1">
      <alignment horizontal="center" vertical="center"/>
    </xf>
    <xf numFmtId="17" fontId="21" fillId="0" borderId="28" xfId="0" applyNumberFormat="1" applyFont="1" applyBorder="1" applyAlignment="1">
      <alignment horizontal="center" vertical="center"/>
    </xf>
    <xf numFmtId="0" fontId="21" fillId="0" borderId="22" xfId="0" applyFont="1" applyBorder="1" applyAlignment="1">
      <alignment horizontal="center" vertical="center"/>
    </xf>
    <xf numFmtId="0" fontId="21" fillId="0" borderId="49" xfId="0" applyFont="1" applyBorder="1" applyAlignment="1">
      <alignment horizontal="center" vertical="center"/>
    </xf>
    <xf numFmtId="0" fontId="22" fillId="0" borderId="0" xfId="0" applyFont="1" applyAlignment="1">
      <alignment horizontal="left" vertical="center"/>
    </xf>
    <xf numFmtId="17" fontId="21" fillId="0" borderId="28" xfId="89" applyNumberFormat="1" applyFont="1" applyBorder="1" applyAlignment="1">
      <alignment horizontal="center" vertical="center" wrapText="1"/>
    </xf>
    <xf numFmtId="0" fontId="21" fillId="0" borderId="22" xfId="89" applyFont="1" applyBorder="1" applyAlignment="1">
      <alignment horizontal="center" vertical="center" wrapText="1"/>
    </xf>
    <xf numFmtId="0" fontId="21" fillId="0" borderId="49" xfId="89" applyFont="1" applyBorder="1" applyAlignment="1">
      <alignment horizontal="center" vertical="center" wrapText="1"/>
    </xf>
    <xf numFmtId="0" fontId="22" fillId="0" borderId="30" xfId="0" applyFont="1" applyBorder="1" applyAlignment="1">
      <alignment horizontal="left" vertical="top" wrapText="1"/>
    </xf>
    <xf numFmtId="0" fontId="22" fillId="0" borderId="4" xfId="0" applyFont="1" applyBorder="1" applyAlignment="1">
      <alignment horizontal="left" vertical="top" wrapText="1"/>
    </xf>
    <xf numFmtId="0" fontId="22" fillId="0" borderId="21" xfId="0" applyFont="1" applyBorder="1" applyAlignment="1">
      <alignment horizontal="left" vertical="top" wrapText="1"/>
    </xf>
    <xf numFmtId="0" fontId="92" fillId="0" borderId="20" xfId="0" applyFont="1" applyBorder="1" applyAlignment="1">
      <alignment horizontal="center" vertical="center"/>
    </xf>
    <xf numFmtId="0" fontId="92" fillId="0" borderId="23" xfId="0" applyFont="1" applyBorder="1" applyAlignment="1">
      <alignment horizontal="center" vertical="center"/>
    </xf>
    <xf numFmtId="0" fontId="92" fillId="0" borderId="13" xfId="0" applyFont="1" applyBorder="1" applyAlignment="1">
      <alignment horizontal="center" vertical="center"/>
    </xf>
    <xf numFmtId="0" fontId="79" fillId="0" borderId="49" xfId="0" applyFont="1" applyBorder="1" applyAlignment="1">
      <alignment horizontal="left" vertical="top" wrapText="1" indent="1"/>
    </xf>
    <xf numFmtId="0" fontId="79" fillId="0" borderId="20" xfId="0" applyFont="1" applyBorder="1" applyAlignment="1">
      <alignment horizontal="left" vertical="top" wrapText="1" indent="1"/>
    </xf>
    <xf numFmtId="0" fontId="79" fillId="0" borderId="68" xfId="0" applyFont="1" applyBorder="1" applyAlignment="1">
      <alignment horizontal="left" vertical="top" wrapText="1" indent="1"/>
    </xf>
    <xf numFmtId="0" fontId="79" fillId="0" borderId="8" xfId="0" applyFont="1" applyBorder="1" applyAlignment="1">
      <alignment horizontal="center" vertical="center"/>
    </xf>
    <xf numFmtId="0" fontId="79" fillId="0" borderId="45" xfId="0" applyFont="1" applyBorder="1" applyAlignment="1">
      <alignment horizontal="center" vertical="center"/>
    </xf>
    <xf numFmtId="0" fontId="52" fillId="0" borderId="8" xfId="0" applyFont="1" applyBorder="1" applyAlignment="1">
      <alignment horizontal="center" vertical="center"/>
    </xf>
    <xf numFmtId="0" fontId="52" fillId="0" borderId="45" xfId="0" applyFont="1" applyBorder="1" applyAlignment="1">
      <alignment horizontal="center" vertical="center"/>
    </xf>
    <xf numFmtId="0" fontId="68" fillId="0" borderId="41" xfId="0" applyFont="1" applyBorder="1" applyAlignment="1">
      <alignment horizontal="center" vertical="center"/>
    </xf>
    <xf numFmtId="0" fontId="68" fillId="0" borderId="8" xfId="0" applyFont="1" applyBorder="1" applyAlignment="1">
      <alignment horizontal="center" vertical="center"/>
    </xf>
    <xf numFmtId="0" fontId="16" fillId="0" borderId="41" xfId="0" applyFont="1" applyBorder="1" applyAlignment="1">
      <alignment horizontal="center" vertical="center" wrapText="1"/>
    </xf>
    <xf numFmtId="0" fontId="16" fillId="0" borderId="8" xfId="0" applyFont="1" applyBorder="1" applyAlignment="1">
      <alignment horizontal="center" vertical="center" wrapText="1"/>
    </xf>
    <xf numFmtId="0" fontId="52" fillId="22" borderId="8" xfId="0" applyFont="1" applyFill="1" applyBorder="1" applyAlignment="1">
      <alignment horizontal="center" vertical="center"/>
    </xf>
    <xf numFmtId="0" fontId="52" fillId="22" borderId="45" xfId="0" applyFont="1" applyFill="1" applyBorder="1" applyAlignment="1">
      <alignment horizontal="center" vertical="center"/>
    </xf>
    <xf numFmtId="0" fontId="16" fillId="0" borderId="69" xfId="0" applyFont="1" applyBorder="1" applyAlignment="1">
      <alignment horizontal="center" vertical="center"/>
    </xf>
    <xf numFmtId="0" fontId="16" fillId="0" borderId="4" xfId="0" applyFont="1" applyBorder="1" applyAlignment="1">
      <alignment horizontal="center" vertical="center"/>
    </xf>
    <xf numFmtId="0" fontId="16" fillId="0" borderId="21" xfId="0" applyFont="1" applyBorder="1" applyAlignment="1">
      <alignment horizontal="center" vertical="center"/>
    </xf>
    <xf numFmtId="0" fontId="79" fillId="0" borderId="41" xfId="0" applyFont="1" applyBorder="1" applyAlignment="1">
      <alignment horizontal="center" vertical="center"/>
    </xf>
    <xf numFmtId="0" fontId="79" fillId="0" borderId="30" xfId="0" applyFont="1" applyBorder="1" applyAlignment="1">
      <alignment horizontal="center" vertical="center"/>
    </xf>
    <xf numFmtId="0" fontId="79" fillId="0" borderId="77" xfId="0" applyFont="1" applyBorder="1" applyAlignment="1">
      <alignment horizontal="center" vertical="center"/>
    </xf>
    <xf numFmtId="0" fontId="79" fillId="0" borderId="21" xfId="0" applyFont="1" applyBorder="1" applyAlignment="1">
      <alignment horizontal="center" vertical="center"/>
    </xf>
    <xf numFmtId="0" fontId="52" fillId="0" borderId="41" xfId="0" applyFont="1" applyBorder="1" applyAlignment="1">
      <alignment horizontal="center" vertical="center" wrapText="1"/>
    </xf>
    <xf numFmtId="0" fontId="52" fillId="0" borderId="8" xfId="0" applyFont="1" applyBorder="1" applyAlignment="1">
      <alignment horizontal="center" vertical="center" wrapText="1"/>
    </xf>
    <xf numFmtId="0" fontId="79" fillId="0" borderId="69" xfId="0" applyFont="1" applyBorder="1" applyAlignment="1">
      <alignment horizontal="center" vertical="center"/>
    </xf>
    <xf numFmtId="0" fontId="79" fillId="0" borderId="4" xfId="0" applyFont="1" applyBorder="1" applyAlignment="1">
      <alignment horizontal="center" vertical="center"/>
    </xf>
    <xf numFmtId="0" fontId="104" fillId="0" borderId="8" xfId="0" applyFont="1" applyBorder="1" applyAlignment="1">
      <alignment horizontal="center" vertical="center"/>
    </xf>
    <xf numFmtId="0" fontId="52" fillId="0" borderId="8" xfId="0" applyFont="1" applyFill="1" applyBorder="1" applyAlignment="1">
      <alignment horizontal="center" vertical="center"/>
    </xf>
    <xf numFmtId="0" fontId="52" fillId="0" borderId="45" xfId="0" applyFont="1" applyFill="1" applyBorder="1" applyAlignment="1">
      <alignment horizontal="center" vertical="center"/>
    </xf>
    <xf numFmtId="0" fontId="102" fillId="38" borderId="58" xfId="0" applyFont="1" applyFill="1" applyBorder="1" applyAlignment="1">
      <alignment horizontal="center" vertical="center"/>
    </xf>
    <xf numFmtId="0" fontId="102" fillId="38" borderId="3" xfId="0" applyFont="1" applyFill="1" applyBorder="1" applyAlignment="1">
      <alignment horizontal="center" vertical="center"/>
    </xf>
    <xf numFmtId="0" fontId="102" fillId="38" borderId="61" xfId="0" applyFont="1" applyFill="1" applyBorder="1" applyAlignment="1">
      <alignment horizontal="center" vertical="center"/>
    </xf>
    <xf numFmtId="0" fontId="52" fillId="0" borderId="35" xfId="0" applyFont="1" applyBorder="1" applyAlignment="1">
      <alignment horizontal="center" vertical="center"/>
    </xf>
    <xf numFmtId="0" fontId="52" fillId="0" borderId="13" xfId="0" applyFont="1" applyBorder="1" applyAlignment="1">
      <alignment horizontal="center" vertical="center"/>
    </xf>
    <xf numFmtId="0" fontId="52" fillId="0" borderId="41" xfId="0" applyFont="1" applyBorder="1" applyAlignment="1">
      <alignment horizontal="center" vertical="center"/>
    </xf>
    <xf numFmtId="0" fontId="52" fillId="0" borderId="13" xfId="0" applyFont="1" applyBorder="1" applyAlignment="1">
      <alignment horizontal="center" vertical="center" wrapText="1"/>
    </xf>
    <xf numFmtId="0" fontId="52" fillId="0" borderId="42" xfId="0" applyFont="1" applyBorder="1" applyAlignment="1">
      <alignment horizontal="center" vertical="center" wrapText="1"/>
    </xf>
    <xf numFmtId="0" fontId="52" fillId="0" borderId="45" xfId="0" applyFont="1" applyBorder="1" applyAlignment="1">
      <alignment horizontal="center" vertical="center" wrapText="1"/>
    </xf>
    <xf numFmtId="0" fontId="127" fillId="40" borderId="71" xfId="0" applyFont="1" applyFill="1" applyBorder="1" applyAlignment="1">
      <alignment horizontal="left" wrapText="1"/>
    </xf>
    <xf numFmtId="0" fontId="152" fillId="40" borderId="72" xfId="0" applyFont="1" applyFill="1" applyBorder="1" applyAlignment="1">
      <alignment horizontal="left" wrapText="1"/>
    </xf>
    <xf numFmtId="0" fontId="152" fillId="40" borderId="73" xfId="0" applyFont="1" applyFill="1" applyBorder="1" applyAlignment="1">
      <alignment horizontal="left" wrapText="1"/>
    </xf>
    <xf numFmtId="17" fontId="102" fillId="38" borderId="58" xfId="58" applyNumberFormat="1" applyFont="1" applyFill="1" applyBorder="1" applyAlignment="1">
      <alignment horizontal="center" vertical="center"/>
    </xf>
    <xf numFmtId="0" fontId="102" fillId="38" borderId="3" xfId="58" applyFont="1" applyFill="1" applyBorder="1" applyAlignment="1">
      <alignment horizontal="center" vertical="center"/>
    </xf>
    <xf numFmtId="0" fontId="102" fillId="38" borderId="61" xfId="58" applyFont="1" applyFill="1" applyBorder="1" applyAlignment="1">
      <alignment horizontal="center" vertical="center"/>
    </xf>
    <xf numFmtId="0" fontId="102" fillId="38" borderId="58" xfId="58" applyFont="1" applyFill="1" applyBorder="1" applyAlignment="1">
      <alignment horizontal="center" vertical="center"/>
    </xf>
    <xf numFmtId="0" fontId="21" fillId="0" borderId="82" xfId="58" applyFont="1" applyBorder="1" applyAlignment="1">
      <alignment horizontal="center" vertical="center" wrapText="1"/>
    </xf>
    <xf numFmtId="0" fontId="21" fillId="0" borderId="41" xfId="58" applyFont="1" applyBorder="1" applyAlignment="1">
      <alignment horizontal="center" vertical="center" wrapText="1"/>
    </xf>
    <xf numFmtId="0" fontId="21" fillId="0" borderId="78" xfId="58" applyFont="1" applyBorder="1" applyAlignment="1">
      <alignment horizontal="center" vertical="center"/>
    </xf>
    <xf numFmtId="0" fontId="21" fillId="0" borderId="8" xfId="58" applyFont="1" applyBorder="1" applyAlignment="1">
      <alignment horizontal="center" vertical="center"/>
    </xf>
    <xf numFmtId="0" fontId="21" fillId="0" borderId="78" xfId="58" applyFont="1" applyBorder="1" applyAlignment="1">
      <alignment horizontal="center" vertical="center" wrapText="1"/>
    </xf>
    <xf numFmtId="0" fontId="21" fillId="0" borderId="8" xfId="58" applyFont="1" applyBorder="1" applyAlignment="1">
      <alignment horizontal="center" vertical="center" wrapText="1"/>
    </xf>
    <xf numFmtId="0" fontId="21" fillId="0" borderId="79" xfId="58" applyFont="1" applyBorder="1" applyAlignment="1">
      <alignment horizontal="center" vertical="center"/>
    </xf>
    <xf numFmtId="0" fontId="21" fillId="0" borderId="45" xfId="58" applyFont="1" applyBorder="1" applyAlignment="1">
      <alignment horizontal="center" vertical="center"/>
    </xf>
    <xf numFmtId="0" fontId="248" fillId="45" borderId="38" xfId="91" applyFont="1" applyFill="1" applyBorder="1" applyAlignment="1">
      <alignment horizontal="center"/>
    </xf>
    <xf numFmtId="0" fontId="248" fillId="45" borderId="39" xfId="91" applyFont="1" applyFill="1" applyBorder="1" applyAlignment="1">
      <alignment horizontal="center"/>
    </xf>
    <xf numFmtId="0" fontId="248" fillId="45" borderId="40" xfId="91" applyFont="1" applyFill="1" applyBorder="1" applyAlignment="1">
      <alignment horizontal="center"/>
    </xf>
    <xf numFmtId="0" fontId="19" fillId="43" borderId="8" xfId="91" applyFont="1" applyFill="1" applyBorder="1" applyAlignment="1">
      <alignment horizontal="center" vertical="center"/>
    </xf>
    <xf numFmtId="0" fontId="19" fillId="43" borderId="45" xfId="91" applyFont="1" applyFill="1" applyBorder="1" applyAlignment="1">
      <alignment horizontal="center" vertical="center"/>
    </xf>
    <xf numFmtId="49" fontId="196" fillId="48" borderId="30" xfId="0" applyNumberFormat="1" applyFont="1" applyFill="1" applyBorder="1" applyAlignment="1">
      <alignment horizontal="center" vertical="top" wrapText="1"/>
    </xf>
    <xf numFmtId="49" fontId="196" fillId="48" borderId="4" xfId="0" applyNumberFormat="1" applyFont="1" applyFill="1" applyBorder="1" applyAlignment="1">
      <alignment horizontal="center" vertical="top" wrapText="1"/>
    </xf>
    <xf numFmtId="49" fontId="196" fillId="48" borderId="21" xfId="0" applyNumberFormat="1" applyFont="1" applyFill="1" applyBorder="1" applyAlignment="1">
      <alignment horizontal="center" vertical="top" wrapText="1"/>
    </xf>
    <xf numFmtId="49" fontId="197" fillId="0" borderId="8" xfId="0" applyNumberFormat="1" applyFont="1" applyFill="1" applyBorder="1" applyAlignment="1">
      <alignment horizontal="center" wrapText="1"/>
    </xf>
    <xf numFmtId="1" fontId="198" fillId="47" borderId="139" xfId="0" applyNumberFormat="1" applyFont="1" applyFill="1" applyBorder="1" applyAlignment="1">
      <alignment horizontal="center" vertical="top" wrapText="1"/>
    </xf>
    <xf numFmtId="1" fontId="198" fillId="47" borderId="140" xfId="0" applyNumberFormat="1" applyFont="1" applyFill="1" applyBorder="1" applyAlignment="1">
      <alignment horizontal="center" vertical="top" wrapText="1"/>
    </xf>
    <xf numFmtId="1" fontId="198" fillId="47" borderId="86" xfId="0" applyNumberFormat="1" applyFont="1" applyFill="1" applyBorder="1" applyAlignment="1">
      <alignment horizontal="center" vertical="top" wrapText="1"/>
    </xf>
    <xf numFmtId="0" fontId="182" fillId="0" borderId="30" xfId="0" applyFont="1" applyFill="1" applyBorder="1" applyAlignment="1">
      <alignment horizontal="center" vertical="center" wrapText="1"/>
    </xf>
    <xf numFmtId="0" fontId="182" fillId="0" borderId="4" xfId="0" applyFont="1" applyFill="1" applyBorder="1" applyAlignment="1">
      <alignment horizontal="center" vertical="center" wrapText="1"/>
    </xf>
    <xf numFmtId="0" fontId="182" fillId="0" borderId="21" xfId="0" applyFont="1" applyFill="1" applyBorder="1" applyAlignment="1">
      <alignment horizontal="center" vertical="center" wrapText="1"/>
    </xf>
    <xf numFmtId="1" fontId="198" fillId="47" borderId="30" xfId="0" applyNumberFormat="1" applyFont="1" applyFill="1" applyBorder="1" applyAlignment="1">
      <alignment horizontal="center" vertical="top" wrapText="1"/>
    </xf>
    <xf numFmtId="1" fontId="198" fillId="47" borderId="4" xfId="0" applyNumberFormat="1" applyFont="1" applyFill="1" applyBorder="1" applyAlignment="1">
      <alignment horizontal="center" vertical="top" wrapText="1"/>
    </xf>
    <xf numFmtId="1" fontId="198" fillId="47" borderId="21" xfId="0" applyNumberFormat="1" applyFont="1" applyFill="1" applyBorder="1" applyAlignment="1">
      <alignment horizontal="center" vertical="top" wrapText="1"/>
    </xf>
    <xf numFmtId="0" fontId="56" fillId="0" borderId="30" xfId="0" applyFont="1" applyBorder="1" applyAlignment="1">
      <alignment horizontal="center"/>
    </xf>
    <xf numFmtId="0" fontId="56" fillId="0" borderId="4" xfId="0" applyFont="1" applyBorder="1" applyAlignment="1">
      <alignment horizontal="center"/>
    </xf>
    <xf numFmtId="0" fontId="56" fillId="0" borderId="21" xfId="0" applyFont="1" applyBorder="1" applyAlignment="1">
      <alignment horizontal="center"/>
    </xf>
    <xf numFmtId="0" fontId="23" fillId="0" borderId="30" xfId="0" applyFont="1" applyBorder="1" applyAlignment="1">
      <alignment horizontal="center"/>
    </xf>
    <xf numFmtId="0" fontId="0" fillId="0" borderId="4" xfId="0" applyBorder="1" applyAlignment="1">
      <alignment horizontal="center"/>
    </xf>
    <xf numFmtId="0" fontId="0" fillId="0" borderId="21" xfId="0" applyBorder="1" applyAlignment="1">
      <alignment horizontal="center"/>
    </xf>
    <xf numFmtId="165" fontId="23" fillId="0" borderId="30" xfId="0" applyNumberFormat="1" applyFont="1" applyBorder="1" applyAlignment="1">
      <alignment horizontal="center"/>
    </xf>
    <xf numFmtId="0" fontId="16" fillId="0" borderId="8" xfId="0" applyFont="1" applyBorder="1" applyAlignment="1">
      <alignment horizontal="center" vertical="center"/>
    </xf>
    <xf numFmtId="0" fontId="16" fillId="0" borderId="30" xfId="0" applyFont="1" applyBorder="1" applyAlignment="1">
      <alignment horizontal="center" vertical="center"/>
    </xf>
    <xf numFmtId="0" fontId="21" fillId="0" borderId="23" xfId="0" applyFont="1" applyBorder="1" applyAlignment="1">
      <alignment horizontal="center" vertical="center" wrapText="1"/>
    </xf>
    <xf numFmtId="0" fontId="20" fillId="0" borderId="13" xfId="0" applyFont="1" applyBorder="1" applyAlignment="1">
      <alignment wrapText="1"/>
    </xf>
    <xf numFmtId="0" fontId="21"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56" fillId="0" borderId="8" xfId="0" applyFont="1" applyBorder="1" applyAlignment="1">
      <alignment horizontal="center"/>
    </xf>
    <xf numFmtId="0" fontId="55" fillId="0" borderId="22" xfId="0" applyFont="1" applyBorder="1" applyAlignment="1">
      <alignment horizontal="left"/>
    </xf>
    <xf numFmtId="0" fontId="56" fillId="0" borderId="8" xfId="0" applyFont="1" applyBorder="1" applyAlignment="1">
      <alignment horizontal="center" wrapText="1"/>
    </xf>
    <xf numFmtId="0" fontId="98" fillId="0" borderId="0" xfId="0" applyFont="1" applyBorder="1" applyAlignment="1">
      <alignment horizontal="center" vertical="center"/>
    </xf>
    <xf numFmtId="0" fontId="142" fillId="0" borderId="0" xfId="0" applyFont="1" applyFill="1" applyBorder="1" applyAlignment="1">
      <alignment horizontal="left"/>
    </xf>
    <xf numFmtId="0" fontId="19" fillId="0" borderId="33" xfId="0" applyFont="1" applyBorder="1" applyAlignment="1">
      <alignment horizontal="center" vertical="top" wrapText="1"/>
    </xf>
    <xf numFmtId="0" fontId="13" fillId="0" borderId="0" xfId="0" applyFont="1" applyFill="1" applyBorder="1" applyAlignment="1">
      <alignment horizontal="left"/>
    </xf>
    <xf numFmtId="0" fontId="183" fillId="0" borderId="58" xfId="0" applyFont="1" applyBorder="1" applyAlignment="1">
      <alignment horizontal="center" vertical="top" wrapText="1"/>
    </xf>
    <xf numFmtId="0" fontId="183" fillId="0" borderId="3" xfId="0" applyFont="1" applyBorder="1" applyAlignment="1">
      <alignment horizontal="center" vertical="top" wrapText="1"/>
    </xf>
    <xf numFmtId="0" fontId="183" fillId="0" borderId="61" xfId="0" applyFont="1" applyBorder="1" applyAlignment="1">
      <alignment horizontal="center" vertical="top" wrapText="1"/>
    </xf>
    <xf numFmtId="0" fontId="67" fillId="0" borderId="78" xfId="0" applyFont="1" applyBorder="1" applyAlignment="1">
      <alignment horizontal="center"/>
    </xf>
    <xf numFmtId="0" fontId="21" fillId="0" borderId="60" xfId="0" applyFont="1" applyBorder="1" applyAlignment="1">
      <alignment horizontal="center" vertical="center"/>
    </xf>
    <xf numFmtId="0" fontId="21" fillId="0" borderId="42" xfId="0" applyFont="1" applyBorder="1" applyAlignment="1">
      <alignment horizontal="center" vertical="center"/>
    </xf>
    <xf numFmtId="0" fontId="21" fillId="0" borderId="0" xfId="0" applyFont="1" applyBorder="1" applyAlignment="1">
      <alignment horizontal="center"/>
    </xf>
    <xf numFmtId="0" fontId="193" fillId="0" borderId="0" xfId="0" applyFont="1" applyAlignment="1">
      <alignment horizontal="center" wrapText="1"/>
    </xf>
    <xf numFmtId="0" fontId="0" fillId="0" borderId="0" xfId="0" applyAlignment="1">
      <alignment horizontal="center" wrapText="1"/>
    </xf>
    <xf numFmtId="0" fontId="21" fillId="0" borderId="82" xfId="0" applyFont="1" applyBorder="1" applyAlignment="1">
      <alignment horizontal="center" vertical="center"/>
    </xf>
    <xf numFmtId="0" fontId="21" fillId="0" borderId="41" xfId="0" applyFont="1" applyBorder="1" applyAlignment="1">
      <alignment horizontal="center" vertical="center"/>
    </xf>
    <xf numFmtId="0" fontId="21" fillId="0" borderId="60" xfId="0" applyFont="1" applyBorder="1" applyAlignment="1">
      <alignment horizontal="center" vertical="center" wrapText="1"/>
    </xf>
    <xf numFmtId="0" fontId="21" fillId="0" borderId="0" xfId="0" applyFont="1" applyAlignment="1">
      <alignment horizontal="left"/>
    </xf>
    <xf numFmtId="0" fontId="0" fillId="0" borderId="0" xfId="0" applyAlignment="1">
      <alignment horizontal="left"/>
    </xf>
    <xf numFmtId="0" fontId="53" fillId="0" borderId="82" xfId="0" applyFont="1" applyBorder="1" applyAlignment="1">
      <alignment horizontal="center" vertical="center"/>
    </xf>
    <xf numFmtId="0" fontId="53" fillId="0" borderId="41" xfId="0" applyFont="1" applyBorder="1" applyAlignment="1">
      <alignment horizontal="center" vertical="center"/>
    </xf>
    <xf numFmtId="0" fontId="0" fillId="0" borderId="0" xfId="0" applyFill="1" applyBorder="1" applyAlignment="1">
      <alignment horizontal="center"/>
    </xf>
    <xf numFmtId="0" fontId="0" fillId="0" borderId="0" xfId="0" applyFill="1" applyBorder="1" applyAlignment="1"/>
    <xf numFmtId="2" fontId="0" fillId="0" borderId="0" xfId="0" applyNumberFormat="1" applyFill="1" applyBorder="1" applyAlignment="1">
      <alignment horizontal="center"/>
    </xf>
    <xf numFmtId="0" fontId="54" fillId="0" borderId="0" xfId="0" applyFont="1" applyFill="1" applyBorder="1" applyAlignment="1">
      <alignment horizontal="center"/>
    </xf>
    <xf numFmtId="0" fontId="54" fillId="0" borderId="8" xfId="0" applyFont="1" applyFill="1" applyBorder="1" applyAlignment="1">
      <alignment horizontal="center" vertical="center"/>
    </xf>
    <xf numFmtId="0" fontId="0" fillId="0" borderId="8" xfId="0" applyFill="1" applyBorder="1" applyAlignment="1"/>
    <xf numFmtId="17" fontId="54" fillId="32" borderId="8" xfId="0" quotePrefix="1" applyNumberFormat="1" applyFont="1" applyFill="1" applyBorder="1" applyAlignment="1">
      <alignment horizontal="center" vertical="center"/>
    </xf>
    <xf numFmtId="0" fontId="0" fillId="32" borderId="8" xfId="0" applyFill="1" applyBorder="1" applyAlignment="1">
      <alignment horizontal="center" vertical="center"/>
    </xf>
    <xf numFmtId="165" fontId="54" fillId="0" borderId="8" xfId="0" quotePrefix="1" applyNumberFormat="1" applyFont="1" applyFill="1" applyBorder="1" applyAlignment="1">
      <alignment horizontal="center" vertical="center" wrapText="1"/>
    </xf>
    <xf numFmtId="0" fontId="0" fillId="0" borderId="8" xfId="0" applyFill="1" applyBorder="1" applyAlignment="1">
      <alignment horizontal="center" wrapText="1"/>
    </xf>
    <xf numFmtId="0" fontId="54" fillId="0" borderId="8" xfId="0" applyFont="1" applyFill="1" applyBorder="1" applyAlignment="1">
      <alignment horizontal="center"/>
    </xf>
    <xf numFmtId="0" fontId="73" fillId="0" borderId="87" xfId="0" applyFont="1" applyFill="1" applyBorder="1" applyAlignment="1">
      <alignment horizontal="center" vertical="center" wrapText="1"/>
    </xf>
    <xf numFmtId="0" fontId="73" fillId="0" borderId="91" xfId="0" applyFont="1" applyFill="1" applyBorder="1" applyAlignment="1">
      <alignment horizontal="center" vertical="center" wrapText="1"/>
    </xf>
    <xf numFmtId="0" fontId="73" fillId="0" borderId="92" xfId="0" applyFont="1" applyFill="1" applyBorder="1" applyAlignment="1">
      <alignment horizontal="center" vertical="center" wrapText="1"/>
    </xf>
    <xf numFmtId="0" fontId="21" fillId="0" borderId="87" xfId="0" applyFont="1" applyFill="1" applyBorder="1" applyAlignment="1">
      <alignment horizontal="left" vertical="top" wrapText="1"/>
    </xf>
    <xf numFmtId="0" fontId="21" fillId="0" borderId="91" xfId="0" applyFont="1" applyFill="1" applyBorder="1" applyAlignment="1">
      <alignment horizontal="left" vertical="top" wrapText="1"/>
    </xf>
    <xf numFmtId="0" fontId="21" fillId="0" borderId="92" xfId="0" applyFont="1" applyFill="1" applyBorder="1" applyAlignment="1">
      <alignment horizontal="left" vertical="top" wrapText="1"/>
    </xf>
    <xf numFmtId="0" fontId="73" fillId="0" borderId="88" xfId="0" applyFont="1" applyFill="1" applyBorder="1" applyAlignment="1">
      <alignment horizontal="center" vertical="top" wrapText="1"/>
    </xf>
    <xf numFmtId="0" fontId="73" fillId="0" borderId="89" xfId="0" applyFont="1" applyFill="1" applyBorder="1" applyAlignment="1">
      <alignment horizontal="center" vertical="top" wrapText="1"/>
    </xf>
    <xf numFmtId="0" fontId="73" fillId="0" borderId="90" xfId="0" applyFont="1" applyFill="1" applyBorder="1" applyAlignment="1">
      <alignment horizontal="center" vertical="top" wrapText="1"/>
    </xf>
    <xf numFmtId="0" fontId="73" fillId="0" borderId="88" xfId="0" applyFont="1" applyFill="1" applyBorder="1" applyAlignment="1">
      <alignment horizontal="left" vertical="top" wrapText="1" indent="11"/>
    </xf>
    <xf numFmtId="0" fontId="73" fillId="0" borderId="89" xfId="0" applyFont="1" applyFill="1" applyBorder="1" applyAlignment="1">
      <alignment horizontal="left" vertical="top" wrapText="1" indent="11"/>
    </xf>
    <xf numFmtId="0" fontId="73" fillId="0" borderId="90" xfId="0" applyFont="1" applyFill="1" applyBorder="1" applyAlignment="1">
      <alignment horizontal="left" vertical="top" wrapText="1" indent="11"/>
    </xf>
    <xf numFmtId="0" fontId="73" fillId="0" borderId="88" xfId="0" applyFont="1" applyFill="1" applyBorder="1" applyAlignment="1">
      <alignment horizontal="left" vertical="top" wrapText="1" indent="4"/>
    </xf>
    <xf numFmtId="0" fontId="73" fillId="0" borderId="89" xfId="0" applyFont="1" applyFill="1" applyBorder="1" applyAlignment="1">
      <alignment horizontal="left" vertical="top" wrapText="1" indent="4"/>
    </xf>
    <xf numFmtId="0" fontId="73" fillId="0" borderId="90" xfId="0" applyFont="1" applyFill="1" applyBorder="1" applyAlignment="1">
      <alignment horizontal="left" vertical="top" wrapText="1" indent="4"/>
    </xf>
    <xf numFmtId="0" fontId="212" fillId="0" borderId="97" xfId="0" applyFont="1" applyFill="1" applyBorder="1" applyAlignment="1">
      <alignment horizontal="left" vertical="top" wrapText="1"/>
    </xf>
    <xf numFmtId="0" fontId="212" fillId="0" borderId="98" xfId="0" applyFont="1" applyFill="1" applyBorder="1" applyAlignment="1">
      <alignment horizontal="left" vertical="top" wrapText="1"/>
    </xf>
    <xf numFmtId="0" fontId="212" fillId="0" borderId="99" xfId="0" applyFont="1" applyFill="1" applyBorder="1" applyAlignment="1">
      <alignment horizontal="left" vertical="top" wrapText="1"/>
    </xf>
    <xf numFmtId="0" fontId="213" fillId="0" borderId="0" xfId="0" applyFont="1" applyFill="1" applyBorder="1" applyAlignment="1">
      <alignment horizontal="left" vertical="top" wrapText="1" indent="1"/>
    </xf>
    <xf numFmtId="0" fontId="212" fillId="0" borderId="94" xfId="0" applyFont="1" applyFill="1" applyBorder="1" applyAlignment="1">
      <alignment horizontal="left" vertical="top" wrapText="1"/>
    </xf>
    <xf numFmtId="0" fontId="212" fillId="0" borderId="95" xfId="0" applyFont="1" applyFill="1" applyBorder="1" applyAlignment="1">
      <alignment horizontal="left" vertical="top" wrapText="1"/>
    </xf>
    <xf numFmtId="0" fontId="212" fillId="0" borderId="96" xfId="0" applyFont="1" applyFill="1" applyBorder="1" applyAlignment="1">
      <alignment horizontal="left" vertical="top" wrapText="1"/>
    </xf>
    <xf numFmtId="0" fontId="23" fillId="0" borderId="8" xfId="0" applyFont="1" applyBorder="1" applyAlignment="1">
      <alignment vertical="center" wrapText="1"/>
    </xf>
    <xf numFmtId="0" fontId="16" fillId="0" borderId="8" xfId="0" applyFont="1" applyBorder="1" applyAlignment="1">
      <alignment vertical="center" wrapText="1"/>
    </xf>
    <xf numFmtId="0" fontId="21" fillId="0" borderId="8" xfId="72" applyFont="1" applyBorder="1" applyAlignment="1">
      <alignment horizontal="center" vertical="center" wrapText="1"/>
    </xf>
    <xf numFmtId="0" fontId="22" fillId="0" borderId="0" xfId="91" applyFont="1" applyAlignment="1">
      <alignment horizontal="left" vertical="top"/>
    </xf>
    <xf numFmtId="0" fontId="22" fillId="0" borderId="0" xfId="91" applyFont="1" applyAlignment="1">
      <alignment horizontal="left" vertical="top" wrapText="1"/>
    </xf>
    <xf numFmtId="180" fontId="199" fillId="0" borderId="8" xfId="91" applyNumberFormat="1" applyFont="1" applyBorder="1" applyAlignment="1">
      <alignment horizontal="center" vertical="center"/>
    </xf>
    <xf numFmtId="0" fontId="199" fillId="0" borderId="8" xfId="91" applyFont="1" applyBorder="1" applyAlignment="1">
      <alignment horizontal="center" vertical="center"/>
    </xf>
    <xf numFmtId="0" fontId="22" fillId="40" borderId="0" xfId="91" applyFont="1" applyFill="1" applyAlignment="1">
      <alignment horizontal="left" vertical="top" wrapText="1"/>
    </xf>
    <xf numFmtId="0" fontId="22" fillId="0" borderId="0" xfId="91" applyFont="1" applyAlignment="1">
      <alignment horizontal="left" wrapText="1"/>
    </xf>
  </cellXfs>
  <cellStyles count="1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rgs.style" xfId="25"/>
    <cellStyle name="Bad" xfId="26" builtinId="27" customBuiltin="1"/>
    <cellStyle name="Calc Currency (0)" xfId="27"/>
    <cellStyle name="Calculation" xfId="28" builtinId="22" customBuiltin="1"/>
    <cellStyle name="Check Cell" xfId="29" builtinId="23" customBuiltin="1"/>
    <cellStyle name="Comma 2" xfId="113"/>
    <cellStyle name="Comma 3" xfId="125"/>
    <cellStyle name="Comma 4" xfId="140"/>
    <cellStyle name="Comma 5" xfId="151"/>
    <cellStyle name="Comma 6" xfId="157"/>
    <cellStyle name="Comma 7" xfId="161"/>
    <cellStyle name="Comma 8" xfId="165"/>
    <cellStyle name="Copied" xfId="30"/>
    <cellStyle name="COST1" xfId="31"/>
    <cellStyle name="Currency 2" xfId="32"/>
    <cellStyle name="Currency 3" xfId="33"/>
    <cellStyle name="Entered" xfId="34"/>
    <cellStyle name="Explanatory Text" xfId="35" builtinId="53" customBuiltin="1"/>
    <cellStyle name="Good" xfId="36" builtinId="26" customBuiltin="1"/>
    <cellStyle name="Grey" xfId="37"/>
    <cellStyle name="Grey 2" xfId="38"/>
    <cellStyle name="Header1" xfId="39"/>
    <cellStyle name="Header2" xfId="40"/>
    <cellStyle name="Heading 1" xfId="41" builtinId="16" customBuiltin="1"/>
    <cellStyle name="Heading 2" xfId="42" builtinId="17" customBuiltin="1"/>
    <cellStyle name="Heading 3" xfId="43" builtinId="18" customBuiltin="1"/>
    <cellStyle name="Heading 4" xfId="44" builtinId="19" customBuiltin="1"/>
    <cellStyle name="Input" xfId="45" builtinId="20" customBuiltin="1"/>
    <cellStyle name="Input [yellow]" xfId="46"/>
    <cellStyle name="Input [yellow] 2" xfId="47"/>
    <cellStyle name="Input Cells" xfId="48"/>
    <cellStyle name="Linked Cell" xfId="49" builtinId="24" customBuiltin="1"/>
    <cellStyle name="Linked Cells" xfId="50"/>
    <cellStyle name="Milliers [0]_!!!GO" xfId="51"/>
    <cellStyle name="Milliers_!!!GO" xfId="52"/>
    <cellStyle name="Monétaire [0]_!!!GO" xfId="53"/>
    <cellStyle name="Monétaire_!!!GO" xfId="54"/>
    <cellStyle name="Neutral" xfId="55" builtinId="28" customBuiltin="1"/>
    <cellStyle name="Normal" xfId="0" builtinId="0"/>
    <cellStyle name="Normal - Style1" xfId="56"/>
    <cellStyle name="Normal 10" xfId="57"/>
    <cellStyle name="Normal 10 2 5 2" xfId="130"/>
    <cellStyle name="Normal 10 2 5 2 2" xfId="144"/>
    <cellStyle name="Normal 10 2 5 2 3" xfId="155"/>
    <cellStyle name="Normal 10 2 5 2 4" xfId="159"/>
    <cellStyle name="Normal 10 2 5 2 5" xfId="163"/>
    <cellStyle name="Normal 10 2 5 2 6" xfId="167"/>
    <cellStyle name="Normal 11" xfId="89"/>
    <cellStyle name="Normal 12" xfId="90"/>
    <cellStyle name="Normal 13" xfId="93"/>
    <cellStyle name="Normal 14" xfId="94"/>
    <cellStyle name="Normal 15" xfId="95"/>
    <cellStyle name="Normal 16" xfId="96"/>
    <cellStyle name="Normal 17" xfId="97"/>
    <cellStyle name="Normal 18" xfId="98"/>
    <cellStyle name="Normal 19" xfId="99"/>
    <cellStyle name="Normal 2" xfId="58"/>
    <cellStyle name="Normal 2 2" xfId="91"/>
    <cellStyle name="Normal 2_ADB III" xfId="129"/>
    <cellStyle name="Normal 20" xfId="100"/>
    <cellStyle name="Normal 21" xfId="101"/>
    <cellStyle name="Normal 22" xfId="102"/>
    <cellStyle name="Normal 23" xfId="103"/>
    <cellStyle name="Normal 24" xfId="104"/>
    <cellStyle name="Normal 25" xfId="105"/>
    <cellStyle name="Normal 26" xfId="106"/>
    <cellStyle name="Normal 27" xfId="107"/>
    <cellStyle name="Normal 28" xfId="108"/>
    <cellStyle name="Normal 29" xfId="109"/>
    <cellStyle name="Normal 3" xfId="59"/>
    <cellStyle name="Normal 3 2" xfId="92"/>
    <cellStyle name="Normal 30" xfId="110"/>
    <cellStyle name="Normal 31" xfId="111"/>
    <cellStyle name="Normal 32" xfId="112"/>
    <cellStyle name="Normal 33" xfId="116"/>
    <cellStyle name="Normal 34" xfId="117"/>
    <cellStyle name="Normal 35" xfId="120"/>
    <cellStyle name="Normal 36" xfId="121"/>
    <cellStyle name="Normal 37" xfId="122"/>
    <cellStyle name="Normal 38" xfId="123"/>
    <cellStyle name="Normal 39" xfId="124"/>
    <cellStyle name="Normal 4" xfId="60"/>
    <cellStyle name="Normal 4 2" xfId="61"/>
    <cellStyle name="Normal 4 3" xfId="115"/>
    <cellStyle name="Normal 40" xfId="127"/>
    <cellStyle name="Normal 41" xfId="132"/>
    <cellStyle name="Normal 42" xfId="135"/>
    <cellStyle name="Normal 43" xfId="137"/>
    <cellStyle name="Normal 44" xfId="138"/>
    <cellStyle name="Normal 45" xfId="139"/>
    <cellStyle name="Normal 46" xfId="142"/>
    <cellStyle name="Normal 47" xfId="147"/>
    <cellStyle name="Normal 48" xfId="148"/>
    <cellStyle name="Normal 49" xfId="149"/>
    <cellStyle name="Normal 5" xfId="62"/>
    <cellStyle name="Normal 5 2" xfId="63"/>
    <cellStyle name="Normal 5 3" xfId="128"/>
    <cellStyle name="Normal 5 4" xfId="134"/>
    <cellStyle name="Normal 50" xfId="150"/>
    <cellStyle name="Normal 51" xfId="153"/>
    <cellStyle name="Normal 52" xfId="156"/>
    <cellStyle name="Normal 53" xfId="160"/>
    <cellStyle name="Normal 54" xfId="164"/>
    <cellStyle name="Normal 6" xfId="64"/>
    <cellStyle name="Normal 6 2" xfId="65"/>
    <cellStyle name="Normal 7" xfId="66"/>
    <cellStyle name="Normal 8" xfId="67"/>
    <cellStyle name="Normal 9" xfId="68"/>
    <cellStyle name="Normal_PSP_Jun05_revised" xfId="69"/>
    <cellStyle name="Normal_PSP0202" xfId="70"/>
    <cellStyle name="Normal_STARRED_LSPQ No. 10534_Anx_for 12.08.05_All Anx" xfId="71"/>
    <cellStyle name="Normal_Xl0000000" xfId="72"/>
    <cellStyle name="Note" xfId="73" builtinId="10" customBuiltin="1"/>
    <cellStyle name="Œ…‹æØ‚è [0.00]_Region Orders (2)" xfId="74"/>
    <cellStyle name="Œ…‹æØ‚è_Region Orders (2)" xfId="75"/>
    <cellStyle name="Output" xfId="76" builtinId="21" customBuiltin="1"/>
    <cellStyle name="per.style" xfId="77"/>
    <cellStyle name="Percent" xfId="78" builtinId="5"/>
    <cellStyle name="Percent [2]" xfId="79"/>
    <cellStyle name="Percent 10" xfId="141"/>
    <cellStyle name="Percent 11" xfId="143"/>
    <cellStyle name="Percent 12" xfId="146"/>
    <cellStyle name="Percent 13" xfId="145"/>
    <cellStyle name="Percent 14" xfId="152"/>
    <cellStyle name="Percent 15" xfId="154"/>
    <cellStyle name="Percent 16" xfId="158"/>
    <cellStyle name="Percent 17" xfId="162"/>
    <cellStyle name="Percent 18" xfId="166"/>
    <cellStyle name="Percent 2" xfId="80"/>
    <cellStyle name="Percent 2 2" xfId="81"/>
    <cellStyle name="Percent 3" xfId="114"/>
    <cellStyle name="Percent 4" xfId="118"/>
    <cellStyle name="Percent 5" xfId="119"/>
    <cellStyle name="Percent 6" xfId="126"/>
    <cellStyle name="Percent 7" xfId="131"/>
    <cellStyle name="Percent 8" xfId="133"/>
    <cellStyle name="Percent 9" xfId="136"/>
    <cellStyle name="pricing" xfId="82"/>
    <cellStyle name="PSChar" xfId="83"/>
    <cellStyle name="RevList" xfId="84"/>
    <cellStyle name="Subtotal" xfId="85"/>
    <cellStyle name="Title" xfId="86" builtinId="15" customBuiltin="1"/>
    <cellStyle name="Total" xfId="87" builtinId="25" customBuiltin="1"/>
    <cellStyle name="Warning Text" xfId="88" builtinId="11" customBuiltin="1"/>
  </cellStyles>
  <dxfs count="22">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12.xml.rels><?xml version="1.0" encoding="UTF-8" standalone="yes"?>
<Relationships xmlns="http://schemas.openxmlformats.org/package/2006/relationships"><Relationship Id="rId2" Type="http://schemas.openxmlformats.org/officeDocument/2006/relationships/chartUserShapes" Target="../drawings/drawing10.xml"/><Relationship Id="rId1" Type="http://schemas.openxmlformats.org/officeDocument/2006/relationships/themeOverride" Target="../theme/themeOverride8.xml"/></Relationships>
</file>

<file path=xl/charts/_rels/chart13.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9.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2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8518518518518517"/>
          <c:y val="3.2887918713131153E-2"/>
          <c:w val="0.61028192371475953"/>
          <c:h val="0.80693069306930698"/>
        </c:manualLayout>
      </c:layout>
      <c:barChart>
        <c:barDir val="col"/>
        <c:grouping val="clustered"/>
        <c:varyColors val="0"/>
        <c:ser>
          <c:idx val="0"/>
          <c:order val="0"/>
          <c:tx>
            <c:strRef>
              <c:f>'1A'!$C$4:$D$4</c:f>
              <c:strCache>
                <c:ptCount val="2"/>
                <c:pt idx="0">
                  <c:v>Jun-20</c:v>
                </c:pt>
              </c:strCache>
            </c:strRef>
          </c:tx>
          <c:spPr>
            <a:solidFill>
              <a:srgbClr val="99CCFF"/>
            </a:solidFill>
            <a:ln w="12700">
              <a:noFill/>
              <a:prstDash val="solid"/>
            </a:ln>
            <a:effectLst>
              <a:outerShdw blurRad="50800" dist="50800" dir="5400000" algn="ctr" rotWithShape="0">
                <a:schemeClr val="accent1">
                  <a:alpha val="69000"/>
                </a:schemeClr>
              </a:outerShdw>
              <a:softEdge rad="0"/>
            </a:effectLst>
            <a:scene3d>
              <a:camera prst="orthographicFront"/>
              <a:lightRig rig="threePt" dir="t">
                <a:rot lat="0" lon="0" rev="600000"/>
              </a:lightRig>
            </a:scene3d>
            <a:sp3d>
              <a:bevelT/>
            </a:sp3d>
          </c:spPr>
          <c:invertIfNegative val="0"/>
          <c:dLbls>
            <c:dLbl>
              <c:idx val="0"/>
              <c:spPr>
                <a:noFill/>
                <a:ln w="25400">
                  <a:noFill/>
                </a:ln>
              </c:spPr>
              <c:txPr>
                <a:bodyPr/>
                <a:lstStyle/>
                <a:p>
                  <a:pPr>
                    <a:defRPr sz="900" b="0" i="0" u="none" strike="noStrike" baseline="0">
                      <a:solidFill>
                        <a:srgbClr val="000000"/>
                      </a:solidFill>
                      <a:latin typeface="Times New Roman"/>
                      <a:ea typeface="Times New Roman"/>
                      <a:cs typeface="Times New Roman"/>
                    </a:defRPr>
                  </a:pPr>
                  <a:endParaRPr lang="en-US"/>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63B-4429-8D63-3914A31CEC97}"/>
                </c:ext>
                <c:ext xmlns:c15="http://schemas.microsoft.com/office/drawing/2012/chart" uri="{CE6537A1-D6FC-4f65-9D91-7224C49458BB}"/>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('1A'!$C$4:$F$4,'1A'!$C$9:$F$9)</c:f>
              <c:numCache>
                <c:formatCode>mmm\-yy</c:formatCode>
                <c:ptCount val="8"/>
                <c:pt idx="0">
                  <c:v>43983</c:v>
                </c:pt>
                <c:pt idx="2">
                  <c:v>44348</c:v>
                </c:pt>
                <c:pt idx="4" formatCode="#,##0.00">
                  <c:v>100.14221999999999</c:v>
                </c:pt>
                <c:pt idx="6" formatCode="#,##0.00">
                  <c:v>112.836</c:v>
                </c:pt>
              </c:numCache>
            </c:numRef>
          </c:cat>
          <c:val>
            <c:numRef>
              <c:f>'1A'!$C$9:$D$9</c:f>
              <c:numCache>
                <c:formatCode>#,##0.00</c:formatCode>
                <c:ptCount val="2"/>
                <c:pt idx="0">
                  <c:v>100.14221999999999</c:v>
                </c:pt>
              </c:numCache>
            </c:numRef>
          </c:val>
          <c:extLst xmlns:c16r2="http://schemas.microsoft.com/office/drawing/2015/06/chart">
            <c:ext xmlns:c16="http://schemas.microsoft.com/office/drawing/2014/chart" uri="{C3380CC4-5D6E-409C-BE32-E72D297353CC}">
              <c16:uniqueId val="{00000001-863B-4429-8D63-3914A31CEC97}"/>
            </c:ext>
          </c:extLst>
        </c:ser>
        <c:ser>
          <c:idx val="1"/>
          <c:order val="1"/>
          <c:tx>
            <c:strRef>
              <c:f>'1A'!$G$4</c:f>
              <c:strCache>
                <c:ptCount val="1"/>
                <c:pt idx="0">
                  <c:v>Jun-21</c:v>
                </c:pt>
              </c:strCache>
            </c:strRef>
          </c:tx>
          <c:spPr>
            <a:solidFill>
              <a:srgbClr val="FF0000"/>
            </a:solidFill>
            <a:ln w="12700">
              <a:noFill/>
              <a:prstDash val="solid"/>
            </a:ln>
            <a:effectLst>
              <a:glow>
                <a:schemeClr val="accent1">
                  <a:alpha val="40000"/>
                </a:schemeClr>
              </a:glow>
              <a:outerShdw blurRad="254000" dist="152400" dir="1860000" sx="97000" sy="97000" algn="l" rotWithShape="0">
                <a:prstClr val="black">
                  <a:alpha val="47000"/>
                </a:prstClr>
              </a:outerShdw>
              <a:softEdge rad="0"/>
            </a:effectLst>
            <a:scene3d>
              <a:camera prst="orthographicFront"/>
              <a:lightRig rig="threePt" dir="t">
                <a:rot lat="0" lon="0" rev="600000"/>
              </a:lightRig>
            </a:scene3d>
            <a:sp3d prstMaterial="dkEdge">
              <a:bevelT/>
            </a:sp3d>
          </c:spPr>
          <c:invertIfNegative val="0"/>
          <c:dLbls>
            <c:spPr>
              <a:noFill/>
              <a:ln w="25400">
                <a:noFill/>
              </a:ln>
            </c:spPr>
            <c:txPr>
              <a:bodyPr wrap="square" lIns="38100" tIns="19050" rIns="38100" bIns="19050" anchor="ctr">
                <a:spAutoFit/>
              </a:bodyPr>
              <a:lstStyle/>
              <a:p>
                <a:pPr>
                  <a:defRPr sz="900" b="0" i="0" u="none" strike="noStrike" baseline="0">
                    <a:solidFill>
                      <a:srgbClr val="000000"/>
                    </a:solidFill>
                    <a:latin typeface="Times New Roman"/>
                    <a:ea typeface="Times New Roman"/>
                    <a:cs typeface="Times New Roman"/>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('1A'!$C$4:$F$4,'1A'!$C$9:$F$9)</c:f>
              <c:numCache>
                <c:formatCode>mmm\-yy</c:formatCode>
                <c:ptCount val="8"/>
                <c:pt idx="0">
                  <c:v>43983</c:v>
                </c:pt>
                <c:pt idx="2">
                  <c:v>44348</c:v>
                </c:pt>
                <c:pt idx="4" formatCode="#,##0.00">
                  <c:v>100.14221999999999</c:v>
                </c:pt>
                <c:pt idx="6" formatCode="#,##0.00">
                  <c:v>112.836</c:v>
                </c:pt>
              </c:numCache>
            </c:numRef>
          </c:cat>
          <c:val>
            <c:numRef>
              <c:f>'1A'!$G$9</c:f>
              <c:numCache>
                <c:formatCode>#,##0.00</c:formatCode>
                <c:ptCount val="1"/>
                <c:pt idx="0">
                  <c:v>106.41756000000001</c:v>
                </c:pt>
              </c:numCache>
            </c:numRef>
          </c:val>
          <c:extLst xmlns:c16r2="http://schemas.microsoft.com/office/drawing/2015/06/chart">
            <c:ext xmlns:c16="http://schemas.microsoft.com/office/drawing/2014/chart" uri="{C3380CC4-5D6E-409C-BE32-E72D297353CC}">
              <c16:uniqueId val="{00000002-863B-4429-8D63-3914A31CEC97}"/>
            </c:ext>
          </c:extLst>
        </c:ser>
        <c:dLbls>
          <c:showLegendKey val="0"/>
          <c:showVal val="0"/>
          <c:showCatName val="0"/>
          <c:showSerName val="0"/>
          <c:showPercent val="0"/>
          <c:showBubbleSize val="0"/>
        </c:dLbls>
        <c:gapWidth val="500"/>
        <c:overlap val="-3"/>
        <c:axId val="-1366986720"/>
        <c:axId val="-1366992160"/>
      </c:barChart>
      <c:dateAx>
        <c:axId val="-1366986720"/>
        <c:scaling>
          <c:orientation val="minMax"/>
        </c:scaling>
        <c:delete val="0"/>
        <c:axPos val="b"/>
        <c:numFmt formatCode="mmm\-yy" sourceLinked="1"/>
        <c:majorTickMark val="out"/>
        <c:minorTickMark val="none"/>
        <c:tickLblPos val="none"/>
        <c:spPr>
          <a:ln w="3175">
            <a:solidFill>
              <a:srgbClr val="000000"/>
            </a:solidFill>
            <a:prstDash val="solid"/>
          </a:ln>
        </c:spPr>
        <c:crossAx val="-1366992160"/>
        <c:crosses val="autoZero"/>
        <c:auto val="1"/>
        <c:lblOffset val="100"/>
        <c:baseTimeUnit val="days"/>
        <c:majorUnit val="1"/>
        <c:majorTimeUnit val="days"/>
        <c:minorUnit val="1"/>
        <c:minorTimeUnit val="days"/>
      </c:dateAx>
      <c:valAx>
        <c:axId val="-1366992160"/>
        <c:scaling>
          <c:orientation val="minMax"/>
        </c:scaling>
        <c:delete val="0"/>
        <c:axPos val="l"/>
        <c:title>
          <c:tx>
            <c:rich>
              <a:bodyPr/>
              <a:lstStyle/>
              <a:p>
                <a:pPr>
                  <a:defRPr sz="1000" b="1" i="0" u="none" strike="noStrike" baseline="0">
                    <a:solidFill>
                      <a:srgbClr val="000000"/>
                    </a:solidFill>
                    <a:latin typeface="Times New Roman"/>
                    <a:ea typeface="Times New Roman"/>
                    <a:cs typeface="Times New Roman"/>
                  </a:defRPr>
                </a:pPr>
                <a:r>
                  <a:rPr lang="en-US"/>
                  <a:t>BU</a:t>
                </a:r>
              </a:p>
            </c:rich>
          </c:tx>
          <c:layout>
            <c:manualLayout>
              <c:xMode val="edge"/>
              <c:yMode val="edge"/>
              <c:x val="5.4422028092259614E-2"/>
              <c:y val="0.38248954029261195"/>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0000FF"/>
                </a:solidFill>
                <a:latin typeface="Times New Roman"/>
                <a:ea typeface="Times New Roman"/>
                <a:cs typeface="Times New Roman"/>
              </a:defRPr>
            </a:pPr>
            <a:endParaRPr lang="en-US"/>
          </a:p>
        </c:txPr>
        <c:crossAx val="-1366986720"/>
        <c:crosses val="autoZero"/>
        <c:crossBetween val="between"/>
      </c:valAx>
      <c:spPr>
        <a:noFill/>
        <a:ln w="25400">
          <a:noFill/>
        </a:ln>
      </c:spPr>
    </c:plotArea>
    <c:legend>
      <c:legendPos val="r"/>
      <c:layout>
        <c:manualLayout>
          <c:xMode val="edge"/>
          <c:yMode val="edge"/>
          <c:x val="0.33076752786093433"/>
          <c:y val="0.86387883946939059"/>
          <c:w val="0.31482482600122741"/>
          <c:h val="9.3899846677581111E-2"/>
        </c:manualLayout>
      </c:layout>
      <c:overlay val="0"/>
      <c:spPr>
        <a:noFill/>
        <a:ln w="3175">
          <a:solidFill>
            <a:srgbClr val="000000"/>
          </a:solidFill>
          <a:prstDash val="solid"/>
        </a:ln>
      </c:spPr>
      <c:txPr>
        <a:bodyPr/>
        <a:lstStyle/>
        <a:p>
          <a:pPr>
            <a:defRPr sz="845" b="1" i="0" u="none" strike="noStrike" baseline="0">
              <a:solidFill>
                <a:srgbClr val="0000FF"/>
              </a:solidFill>
              <a:latin typeface="Times New Roman"/>
              <a:ea typeface="Times New Roman"/>
              <a:cs typeface="Times New Roman"/>
            </a:defRPr>
          </a:pPr>
          <a:endParaRPr lang="en-US"/>
        </a:p>
      </c:txPr>
    </c:legend>
    <c:plotVisOnly val="1"/>
    <c:dispBlanksAs val="gap"/>
    <c:showDLblsOverMax val="0"/>
  </c:chart>
  <c:spPr>
    <a:solidFill>
      <a:srgbClr val="FFFFFF"/>
    </a:solidFill>
    <a:ln w="3175">
      <a:solidFill>
        <a:srgbClr val="000000"/>
      </a:solidFill>
      <a:prstDash val="solid"/>
    </a:ln>
    <a:scene3d>
      <a:camera prst="orthographicFront"/>
      <a:lightRig rig="threePt" dir="t"/>
    </a:scene3d>
    <a:sp3d>
      <a:bevelT/>
    </a:sp3d>
  </c:spPr>
  <c:txPr>
    <a:bodyPr/>
    <a:lstStyle/>
    <a:p>
      <a:pPr>
        <a:defRPr sz="1725" b="0" i="0" u="none" strike="noStrike" baseline="0">
          <a:solidFill>
            <a:srgbClr val="000000"/>
          </a:solidFill>
          <a:latin typeface="Times New Roman"/>
          <a:ea typeface="Times New Roman"/>
          <a:cs typeface="Times New Roman"/>
        </a:defRPr>
      </a:pPr>
      <a:endParaRPr lang="en-US"/>
    </a:p>
  </c:txPr>
  <c:printSettings>
    <c:headerFooter alignWithMargins="0"/>
    <c:pageMargins b="1" l="0.75" r="0.75" t="1" header="0.5" footer="0.5"/>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8092105263157895"/>
          <c:y val="4.642857142857143E-2"/>
          <c:w val="0.68914473684210531"/>
          <c:h val="0.8392857142857143"/>
        </c:manualLayout>
      </c:layout>
      <c:barChart>
        <c:barDir val="col"/>
        <c:grouping val="clustered"/>
        <c:varyColors val="0"/>
        <c:ser>
          <c:idx val="0"/>
          <c:order val="0"/>
          <c:tx>
            <c:strRef>
              <c:f>'1A'!$C$27:$D$27</c:f>
              <c:strCache>
                <c:ptCount val="2"/>
                <c:pt idx="0">
                  <c:v>Apr-20 to Jun-20</c:v>
                </c:pt>
              </c:strCache>
            </c:strRef>
          </c:tx>
          <c:spPr>
            <a:solidFill>
              <a:srgbClr val="99CCFF"/>
            </a:solidFill>
            <a:ln w="50800">
              <a:noFill/>
            </a:ln>
            <a:effectLst>
              <a:glow rad="177800">
                <a:schemeClr val="accent5">
                  <a:satMod val="175000"/>
                  <a:alpha val="22000"/>
                </a:schemeClr>
              </a:glow>
              <a:outerShdw blurRad="546100" dir="5280000" sx="95000" sy="95000" algn="ctr" rotWithShape="0">
                <a:srgbClr val="000000">
                  <a:alpha val="37000"/>
                </a:srgbClr>
              </a:outerShdw>
            </a:effectLst>
            <a:scene3d>
              <a:camera prst="orthographicFront"/>
              <a:lightRig rig="threePt" dir="t">
                <a:rot lat="0" lon="0" rev="1200000"/>
              </a:lightRig>
            </a:scene3d>
            <a:sp3d prstMaterial="metal">
              <a:bevelT/>
              <a:bevelB w="6350"/>
            </a:sp3d>
          </c:spPr>
          <c:invertIfNegative val="0"/>
          <c:dPt>
            <c:idx val="2"/>
            <c:invertIfNegative val="0"/>
            <c:bubble3D val="0"/>
            <c:spPr>
              <a:solidFill>
                <a:srgbClr val="FF0000"/>
              </a:solidFill>
              <a:ln w="50800">
                <a:noFill/>
              </a:ln>
              <a:effectLst>
                <a:glow rad="177800">
                  <a:srgbClr val="FF0000">
                    <a:alpha val="22000"/>
                  </a:srgbClr>
                </a:glow>
                <a:outerShdw blurRad="546100" dir="5280000" sx="95000" sy="95000" algn="ctr" rotWithShape="0">
                  <a:srgbClr val="000000">
                    <a:alpha val="37000"/>
                  </a:srgbClr>
                </a:outerShdw>
              </a:effectLst>
              <a:scene3d>
                <a:camera prst="orthographicFront"/>
                <a:lightRig rig="threePt" dir="t">
                  <a:rot lat="0" lon="0" rev="1200000"/>
                </a:lightRig>
              </a:scene3d>
              <a:sp3d prstMaterial="metal">
                <a:bevelT/>
                <a:bevelB w="6350"/>
              </a:sp3d>
            </c:spPr>
            <c:extLst xmlns:c16r2="http://schemas.microsoft.com/office/drawing/2015/06/chart">
              <c:ext xmlns:c16="http://schemas.microsoft.com/office/drawing/2014/chart" uri="{C3380CC4-5D6E-409C-BE32-E72D297353CC}">
                <c16:uniqueId val="{00000000-DC80-474F-9B16-898013199541}"/>
              </c:ext>
            </c:extLst>
          </c:dPt>
          <c:dLbls>
            <c:dLbl>
              <c:idx val="0"/>
              <c:layout>
                <c:manualLayout>
                  <c:x val="2.2259321090706734E-3"/>
                  <c:y val="-1.4285714285714285E-2"/>
                </c:manualLayout>
              </c:layout>
              <c:spPr>
                <a:noFill/>
                <a:ln w="25400">
                  <a:noFill/>
                </a:ln>
              </c:spPr>
              <c:txPr>
                <a:bodyPr/>
                <a:lstStyle/>
                <a:p>
                  <a:pPr>
                    <a:defRPr sz="900" b="0" i="0" u="none" strike="noStrike" baseline="0">
                      <a:solidFill>
                        <a:srgbClr val="000000"/>
                      </a:solidFill>
                      <a:latin typeface="Times New Roman"/>
                      <a:ea typeface="Times New Roman"/>
                      <a:cs typeface="Times New Roman"/>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C80-474F-9B16-898013199541}"/>
                </c:ext>
                <c:ext xmlns:c15="http://schemas.microsoft.com/office/drawing/2012/chart" uri="{CE6537A1-D6FC-4f65-9D91-7224C49458BB}"/>
              </c:extLst>
            </c:dLbl>
            <c:dLbl>
              <c:idx val="2"/>
              <c:layout>
                <c:manualLayout>
                  <c:x val="0"/>
                  <c:y val="-9.5238095238095351E-3"/>
                </c:manualLayout>
              </c:layout>
              <c:spPr>
                <a:noFill/>
                <a:ln w="25400">
                  <a:noFill/>
                </a:ln>
              </c:spPr>
              <c:txPr>
                <a:bodyPr/>
                <a:lstStyle/>
                <a:p>
                  <a:pPr>
                    <a:defRPr sz="900" b="0" i="0" u="none" strike="noStrike" baseline="0">
                      <a:solidFill>
                        <a:srgbClr val="000000"/>
                      </a:solidFill>
                      <a:latin typeface="Times New Roman"/>
                      <a:ea typeface="Times New Roman"/>
                      <a:cs typeface="Times New Roman"/>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C80-474F-9B16-898013199541}"/>
                </c:ext>
                <c:ext xmlns:c15="http://schemas.microsoft.com/office/drawing/2012/chart" uri="{CE6537A1-D6FC-4f65-9D91-7224C49458BB}"/>
              </c:extLst>
            </c:dLbl>
            <c:spPr>
              <a:noFill/>
              <a:ln w="25400">
                <a:noFill/>
              </a:ln>
            </c:spPr>
            <c:txPr>
              <a:bodyPr wrap="square" lIns="38100" tIns="19050" rIns="38100" bIns="19050" anchor="ctr">
                <a:spAutoFit/>
              </a:bodyPr>
              <a:lstStyle/>
              <a:p>
                <a:pPr>
                  <a:defRPr sz="900" b="0" i="0" u="none" strike="noStrike" baseline="0">
                    <a:solidFill>
                      <a:srgbClr val="000000"/>
                    </a:solidFill>
                    <a:latin typeface="Times New Roman"/>
                    <a:ea typeface="Times New Roman"/>
                    <a:cs typeface="Times New Roman"/>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('1A'!$C$27:$D$27,'1A'!$E$27:$F$27)</c:f>
              <c:strCache>
                <c:ptCount val="3"/>
                <c:pt idx="0">
                  <c:v>Apr-20 to Jun-20</c:v>
                </c:pt>
                <c:pt idx="2">
                  <c:v>Apr-21 to Jun-21*</c:v>
                </c:pt>
              </c:strCache>
            </c:strRef>
          </c:cat>
          <c:val>
            <c:numRef>
              <c:f>('1A'!$C$32:$D$32,'1A'!$E$32:$F$32)</c:f>
              <c:numCache>
                <c:formatCode>#,##0.00</c:formatCode>
                <c:ptCount val="4"/>
                <c:pt idx="0">
                  <c:v>277.68886000000003</c:v>
                </c:pt>
                <c:pt idx="2">
                  <c:v>325.72334999999998</c:v>
                </c:pt>
              </c:numCache>
            </c:numRef>
          </c:val>
          <c:extLst xmlns:c16r2="http://schemas.microsoft.com/office/drawing/2015/06/chart">
            <c:ext xmlns:c16="http://schemas.microsoft.com/office/drawing/2014/chart" uri="{C3380CC4-5D6E-409C-BE32-E72D297353CC}">
              <c16:uniqueId val="{00000002-DC80-474F-9B16-898013199541}"/>
            </c:ext>
          </c:extLst>
        </c:ser>
        <c:ser>
          <c:idx val="1"/>
          <c:order val="1"/>
          <c:tx>
            <c:strRef>
              <c:f>'1A'!$E$27:$F$27</c:f>
              <c:strCache>
                <c:ptCount val="2"/>
                <c:pt idx="0">
                  <c:v>Apr-21 to Jun-21*</c:v>
                </c:pt>
              </c:strCache>
            </c:strRef>
          </c:tx>
          <c:invertIfNegative val="0"/>
          <c:val>
            <c:numLit>
              <c:formatCode>General</c:formatCode>
              <c:ptCount val="1"/>
              <c:pt idx="0">
                <c:v>1</c:v>
              </c:pt>
            </c:numLit>
          </c:val>
          <c:extLst xmlns:c16r2="http://schemas.microsoft.com/office/drawing/2015/06/chart">
            <c:ext xmlns:c16="http://schemas.microsoft.com/office/drawing/2014/chart" uri="{C3380CC4-5D6E-409C-BE32-E72D297353CC}">
              <c16:uniqueId val="{00000003-DC80-474F-9B16-898013199541}"/>
            </c:ext>
          </c:extLst>
        </c:ser>
        <c:dLbls>
          <c:showLegendKey val="0"/>
          <c:showVal val="0"/>
          <c:showCatName val="0"/>
          <c:showSerName val="0"/>
          <c:showPercent val="0"/>
          <c:showBubbleSize val="0"/>
        </c:dLbls>
        <c:gapWidth val="106"/>
        <c:overlap val="90"/>
        <c:axId val="-1366996512"/>
        <c:axId val="-1366986176"/>
      </c:barChart>
      <c:catAx>
        <c:axId val="-1366996512"/>
        <c:scaling>
          <c:orientation val="minMax"/>
        </c:scaling>
        <c:delete val="0"/>
        <c:axPos val="b"/>
        <c:numFmt formatCode="General" sourceLinked="1"/>
        <c:majorTickMark val="out"/>
        <c:minorTickMark val="none"/>
        <c:tickLblPos val="none"/>
        <c:spPr>
          <a:ln w="12700">
            <a:solidFill>
              <a:srgbClr val="000000"/>
            </a:solidFill>
            <a:prstDash val="solid"/>
          </a:ln>
        </c:spPr>
        <c:crossAx val="-1366986176"/>
        <c:crosses val="autoZero"/>
        <c:auto val="1"/>
        <c:lblAlgn val="ctr"/>
        <c:lblOffset val="100"/>
        <c:tickLblSkip val="1"/>
        <c:tickMarkSkip val="1"/>
        <c:noMultiLvlLbl val="0"/>
      </c:catAx>
      <c:valAx>
        <c:axId val="-1366986176"/>
        <c:scaling>
          <c:orientation val="minMax"/>
        </c:scaling>
        <c:delete val="0"/>
        <c:axPos val="l"/>
        <c:title>
          <c:tx>
            <c:rich>
              <a:bodyPr/>
              <a:lstStyle/>
              <a:p>
                <a:pPr>
                  <a:defRPr sz="1000" b="1" i="0" u="none" strike="noStrike" baseline="0">
                    <a:solidFill>
                      <a:srgbClr val="000000"/>
                    </a:solidFill>
                    <a:latin typeface="Times New Roman"/>
                    <a:ea typeface="Times New Roman"/>
                    <a:cs typeface="Times New Roman"/>
                  </a:defRPr>
                </a:pPr>
                <a:r>
                  <a:rPr lang="en-US"/>
                  <a:t>BU</a:t>
                </a:r>
              </a:p>
            </c:rich>
          </c:tx>
          <c:layout>
            <c:manualLayout>
              <c:xMode val="edge"/>
              <c:yMode val="edge"/>
              <c:x val="5.0964394253349914E-2"/>
              <c:y val="0.41584326959130108"/>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900" b="1" i="0" u="none" strike="noStrike" baseline="0">
                <a:solidFill>
                  <a:srgbClr val="0000FF"/>
                </a:solidFill>
                <a:latin typeface="Times New Roman"/>
                <a:ea typeface="Times New Roman"/>
                <a:cs typeface="Times New Roman"/>
              </a:defRPr>
            </a:pPr>
            <a:endParaRPr lang="en-US"/>
          </a:p>
        </c:txPr>
        <c:crossAx val="-1366996512"/>
        <c:crosses val="autoZero"/>
        <c:crossBetween val="between"/>
      </c:valAx>
      <c:spPr>
        <a:noFill/>
        <a:ln w="25400" cmpd="sng">
          <a:gradFill>
            <a:gsLst>
              <a:gs pos="0">
                <a:schemeClr val="accent1">
                  <a:lumMod val="0"/>
                  <a:lumOff val="100000"/>
                </a:schemeClr>
              </a:gs>
              <a:gs pos="36257">
                <a:srgbClr val="D7E6F5"/>
              </a:gs>
              <a:gs pos="51356">
                <a:srgbClr val="C9DEF1"/>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effectLst>
          <a:glow rad="101600">
            <a:schemeClr val="accent1">
              <a:alpha val="40000"/>
            </a:schemeClr>
          </a:glow>
        </a:effectLst>
        <a:scene3d>
          <a:camera prst="orthographicFront"/>
          <a:lightRig rig="threePt" dir="t"/>
        </a:scene3d>
      </c:spPr>
    </c:plotArea>
    <c:legend>
      <c:legendPos val="b"/>
      <c:layout>
        <c:manualLayout>
          <c:xMode val="edge"/>
          <c:yMode val="edge"/>
          <c:x val="0.18650527638086445"/>
          <c:y val="0.90825571803524563"/>
          <c:w val="0.62910249531011464"/>
          <c:h val="7.2696662917135363E-2"/>
        </c:manualLayout>
      </c:layout>
      <c:overlay val="0"/>
      <c:spPr>
        <a:noFill/>
        <a:ln w="3175">
          <a:solidFill>
            <a:srgbClr val="000000"/>
          </a:solidFill>
          <a:prstDash val="solid"/>
        </a:ln>
      </c:spPr>
      <c:txPr>
        <a:bodyPr/>
        <a:lstStyle/>
        <a:p>
          <a:pPr>
            <a:defRPr sz="845" b="1" i="0" u="none" strike="noStrike" baseline="0">
              <a:solidFill>
                <a:srgbClr val="0000FF"/>
              </a:solidFill>
              <a:latin typeface="Times New Roman"/>
              <a:ea typeface="Times New Roman"/>
              <a:cs typeface="Times New Roman"/>
            </a:defRPr>
          </a:pPr>
          <a:endParaRPr lang="en-US"/>
        </a:p>
      </c:txPr>
    </c:legend>
    <c:plotVisOnly val="1"/>
    <c:dispBlanksAs val="gap"/>
    <c:showDLblsOverMax val="0"/>
  </c:chart>
  <c:spPr>
    <a:solidFill>
      <a:srgbClr val="FFFFFF"/>
    </a:solidFill>
    <a:ln w="12700">
      <a:solidFill>
        <a:srgbClr val="000000"/>
      </a:solidFill>
      <a:prstDash val="solid"/>
    </a:ln>
    <a:scene3d>
      <a:camera prst="orthographicFront"/>
      <a:lightRig rig="threePt" dir="t"/>
    </a:scene3d>
    <a:sp3d>
      <a:bevelT/>
    </a:sp3d>
  </c:spPr>
  <c:txPr>
    <a:bodyPr/>
    <a:lstStyle/>
    <a:p>
      <a:pPr>
        <a:defRPr sz="1725" b="0" i="0" u="none" strike="noStrike" baseline="0">
          <a:solidFill>
            <a:srgbClr val="000000"/>
          </a:solidFill>
          <a:latin typeface="Times New Roman"/>
          <a:ea typeface="Times New Roman"/>
          <a:cs typeface="Times New Roman"/>
        </a:defRPr>
      </a:pPr>
      <a:endParaRPr lang="en-US"/>
    </a:p>
  </c:txPr>
  <c:printSettings>
    <c:headerFooter alignWithMargins="0"/>
    <c:pageMargins b="1" l="0.75" r="0.7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2658022690437608E-2"/>
          <c:y val="5.1194539249146756E-2"/>
          <c:w val="0.86871961102106965"/>
          <c:h val="0.82593856655290099"/>
        </c:manualLayout>
      </c:layout>
      <c:barChart>
        <c:barDir val="col"/>
        <c:grouping val="clustered"/>
        <c:varyColors val="0"/>
        <c:ser>
          <c:idx val="0"/>
          <c:order val="0"/>
          <c:tx>
            <c:strRef>
              <c:f>'2'!$D$5</c:f>
              <c:strCache>
                <c:ptCount val="1"/>
                <c:pt idx="0">
                  <c:v>Jun-20</c:v>
                </c:pt>
              </c:strCache>
            </c:strRef>
          </c:tx>
          <c:spPr>
            <a:solidFill>
              <a:srgbClr val="99CCFF"/>
            </a:solidFill>
            <a:ln w="12700">
              <a:noFill/>
              <a:prstDash val="solid"/>
            </a:ln>
            <a:effectLst>
              <a:innerShdw blurRad="63500" dist="50800" dir="13500000">
                <a:prstClr val="black">
                  <a:alpha val="50000"/>
                </a:prstClr>
              </a:innerShdw>
            </a:effectLst>
            <a:scene3d>
              <a:camera prst="orthographicFront"/>
              <a:lightRig rig="threePt" dir="t"/>
            </a:scene3d>
            <a:sp3d prstMaterial="matte">
              <a:bevelT/>
            </a:sp3d>
          </c:spPr>
          <c:invertIfNegative val="0"/>
          <c:dLbls>
            <c:dLbl>
              <c:idx val="0"/>
              <c:layout>
                <c:manualLayout>
                  <c:x val="-5.2277061745051642E-3"/>
                  <c:y val="1.176934241079009E-2"/>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677-47F9-AD76-7AC01A098455}"/>
                </c:ext>
                <c:ext xmlns:c15="http://schemas.microsoft.com/office/drawing/2012/chart" uri="{CE6537A1-D6FC-4f65-9D91-7224C49458BB}"/>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val>
            <c:numRef>
              <c:f>'2'!$D$9</c:f>
              <c:numCache>
                <c:formatCode>General</c:formatCode>
                <c:ptCount val="1"/>
                <c:pt idx="0">
                  <c:v>270</c:v>
                </c:pt>
              </c:numCache>
            </c:numRef>
          </c:val>
          <c:extLst xmlns:c16r2="http://schemas.microsoft.com/office/drawing/2015/06/chart">
            <c:ext xmlns:c16="http://schemas.microsoft.com/office/drawing/2014/chart" uri="{C3380CC4-5D6E-409C-BE32-E72D297353CC}">
              <c16:uniqueId val="{00000001-F677-47F9-AD76-7AC01A098455}"/>
            </c:ext>
          </c:extLst>
        </c:ser>
        <c:ser>
          <c:idx val="1"/>
          <c:order val="1"/>
          <c:tx>
            <c:strRef>
              <c:f>'2'!$E$5:$F$5</c:f>
              <c:strCache>
                <c:ptCount val="1"/>
                <c:pt idx="0">
                  <c:v>Jun-21</c:v>
                </c:pt>
              </c:strCache>
            </c:strRef>
          </c:tx>
          <c:spPr>
            <a:solidFill>
              <a:srgbClr val="00B050"/>
            </a:solidFill>
            <a:ln w="12700">
              <a:noFill/>
              <a:prstDash val="solid"/>
            </a:ln>
            <a:effectLst>
              <a:outerShdw blurRad="50800" dist="38100" dir="5400000" algn="t" rotWithShape="0">
                <a:prstClr val="black">
                  <a:alpha val="40000"/>
                </a:prstClr>
              </a:outerShdw>
            </a:effectLst>
            <a:scene3d>
              <a:camera prst="orthographicFront"/>
              <a:lightRig rig="threePt" dir="t"/>
            </a:scene3d>
            <a:sp3d>
              <a:bevelT/>
            </a:sp3d>
          </c:spPr>
          <c:invertIfNegative val="0"/>
          <c:dLbls>
            <c:dLbl>
              <c:idx val="0"/>
              <c:layout>
                <c:manualLayout>
                  <c:x val="3.1749007051081536E-4"/>
                  <c:y val="2.1175452853801669E-2"/>
                </c:manualLayout>
              </c:layout>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677-47F9-AD76-7AC01A098455}"/>
                </c:ext>
                <c:ext xmlns:c15="http://schemas.microsoft.com/office/drawing/2012/chart" uri="{CE6537A1-D6FC-4f65-9D91-7224C49458BB}"/>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val>
            <c:numRef>
              <c:f>'2'!$F$9</c:f>
              <c:numCache>
                <c:formatCode>General</c:formatCode>
                <c:ptCount val="1"/>
                <c:pt idx="0">
                  <c:v>112.97799999999999</c:v>
                </c:pt>
              </c:numCache>
            </c:numRef>
          </c:val>
          <c:extLst xmlns:c16r2="http://schemas.microsoft.com/office/drawing/2015/06/chart">
            <c:ext xmlns:c16="http://schemas.microsoft.com/office/drawing/2014/chart" uri="{C3380CC4-5D6E-409C-BE32-E72D297353CC}">
              <c16:uniqueId val="{00000003-F677-47F9-AD76-7AC01A098455}"/>
            </c:ext>
          </c:extLst>
        </c:ser>
        <c:dLbls>
          <c:showLegendKey val="0"/>
          <c:showVal val="0"/>
          <c:showCatName val="0"/>
          <c:showSerName val="0"/>
          <c:showPercent val="0"/>
          <c:showBubbleSize val="0"/>
        </c:dLbls>
        <c:gapWidth val="450"/>
        <c:axId val="-1366987264"/>
        <c:axId val="-1366987808"/>
      </c:barChart>
      <c:catAx>
        <c:axId val="-1366987264"/>
        <c:scaling>
          <c:orientation val="minMax"/>
        </c:scaling>
        <c:delete val="0"/>
        <c:axPos val="b"/>
        <c:numFmt formatCode="General" sourceLinked="1"/>
        <c:majorTickMark val="out"/>
        <c:minorTickMark val="none"/>
        <c:tickLblPos val="nextTo"/>
        <c:spPr>
          <a:ln w="6350">
            <a:noFill/>
          </a:ln>
        </c:spPr>
        <c:txPr>
          <a:bodyPr rot="0" vert="horz"/>
          <a:lstStyle/>
          <a:p>
            <a:pPr>
              <a:defRPr sz="1050" b="0" i="0" u="none" strike="noStrike" baseline="0">
                <a:solidFill>
                  <a:srgbClr val="000000"/>
                </a:solidFill>
                <a:latin typeface="Arial"/>
                <a:ea typeface="Arial"/>
                <a:cs typeface="Arial"/>
              </a:defRPr>
            </a:pPr>
            <a:endParaRPr lang="en-US"/>
          </a:p>
        </c:txPr>
        <c:crossAx val="-1366987808"/>
        <c:crosses val="autoZero"/>
        <c:auto val="1"/>
        <c:lblAlgn val="ctr"/>
        <c:lblOffset val="100"/>
        <c:tickLblSkip val="1"/>
        <c:tickMarkSkip val="1"/>
        <c:noMultiLvlLbl val="0"/>
      </c:catAx>
      <c:valAx>
        <c:axId val="-136698780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366987264"/>
        <c:crosses val="autoZero"/>
        <c:crossBetween val="between"/>
      </c:valAx>
      <c:spPr>
        <a:solidFill>
          <a:srgbClr val="FFFFFF"/>
        </a:solidFill>
        <a:ln w="3175">
          <a:solidFill>
            <a:srgbClr val="000000">
              <a:alpha val="98000"/>
            </a:srgbClr>
          </a:solidFill>
          <a:prstDash val="solid"/>
        </a:ln>
      </c:spPr>
    </c:plotArea>
    <c:legend>
      <c:legendPos val="r"/>
      <c:layout>
        <c:manualLayout>
          <c:xMode val="edge"/>
          <c:yMode val="edge"/>
          <c:x val="0.32415948816770673"/>
          <c:y val="0.89081651482984425"/>
          <c:w val="0.3760250471122229"/>
          <c:h val="6.8261893884424829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a:scene3d>
      <a:camera prst="orthographicFront"/>
      <a:lightRig rig="threePt" dir="t"/>
    </a:scene3d>
    <a:sp3d>
      <a:bevelT/>
    </a:sp3d>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536768503937008"/>
          <c:y val="5.2596800013001474E-2"/>
          <c:w val="0.85475015775968521"/>
          <c:h val="0.76385558616318461"/>
        </c:manualLayout>
      </c:layout>
      <c:barChart>
        <c:barDir val="col"/>
        <c:grouping val="clustered"/>
        <c:varyColors val="0"/>
        <c:ser>
          <c:idx val="0"/>
          <c:order val="0"/>
          <c:tx>
            <c:strRef>
              <c:f>'2'!$D$29</c:f>
              <c:strCache>
                <c:ptCount val="1"/>
                <c:pt idx="0">
                  <c:v>Apr-20 to Jun-20</c:v>
                </c:pt>
              </c:strCache>
            </c:strRef>
          </c:tx>
          <c:spPr>
            <a:solidFill>
              <a:srgbClr val="99CCFF"/>
            </a:solidFill>
            <a:ln w="12700">
              <a:noFill/>
              <a:prstDash val="solid"/>
            </a:ln>
            <a:scene3d>
              <a:camera prst="orthographicFront"/>
              <a:lightRig rig="threePt" dir="t"/>
            </a:scene3d>
            <a:sp3d prstMaterial="matte">
              <a:bevelT/>
            </a:sp3d>
          </c:spPr>
          <c:invertIfNegative val="0"/>
          <c:val>
            <c:numRef>
              <c:f>'2'!$D$33</c:f>
              <c:numCache>
                <c:formatCode>0.00</c:formatCode>
                <c:ptCount val="1"/>
                <c:pt idx="0">
                  <c:v>306.14999999999998</c:v>
                </c:pt>
              </c:numCache>
            </c:numRef>
          </c:val>
          <c:extLst xmlns:c16r2="http://schemas.microsoft.com/office/drawing/2015/06/chart">
            <c:ext xmlns:c16="http://schemas.microsoft.com/office/drawing/2014/chart" uri="{C3380CC4-5D6E-409C-BE32-E72D297353CC}">
              <c16:uniqueId val="{00000001-DF56-4FC5-BD6E-A849B5F05155}"/>
            </c:ext>
          </c:extLst>
        </c:ser>
        <c:ser>
          <c:idx val="1"/>
          <c:order val="1"/>
          <c:tx>
            <c:strRef>
              <c:f>'2'!$E$29</c:f>
              <c:strCache>
                <c:ptCount val="1"/>
                <c:pt idx="0">
                  <c:v>Apr-21 to Jun-21</c:v>
                </c:pt>
              </c:strCache>
            </c:strRef>
          </c:tx>
          <c:spPr>
            <a:solidFill>
              <a:srgbClr val="00B050"/>
            </a:solidFill>
            <a:ln w="12700">
              <a:noFill/>
              <a:prstDash val="solid"/>
            </a:ln>
            <a:scene3d>
              <a:camera prst="orthographicFront"/>
              <a:lightRig rig="threePt" dir="t"/>
            </a:scene3d>
            <a:sp3d>
              <a:bevelT/>
            </a:sp3d>
          </c:spPr>
          <c:invertIfNegative val="0"/>
          <c:val>
            <c:numRef>
              <c:f>'2'!$E$33</c:f>
              <c:numCache>
                <c:formatCode>0.00</c:formatCode>
                <c:ptCount val="1"/>
                <c:pt idx="0">
                  <c:v>112.97799999999999</c:v>
                </c:pt>
              </c:numCache>
            </c:numRef>
          </c:val>
          <c:extLst xmlns:c16r2="http://schemas.microsoft.com/office/drawing/2015/06/chart">
            <c:ext xmlns:c16="http://schemas.microsoft.com/office/drawing/2014/chart" uri="{C3380CC4-5D6E-409C-BE32-E72D297353CC}">
              <c16:uniqueId val="{00000003-DF56-4FC5-BD6E-A849B5F05155}"/>
            </c:ext>
          </c:extLst>
        </c:ser>
        <c:dLbls>
          <c:showLegendKey val="0"/>
          <c:showVal val="0"/>
          <c:showCatName val="0"/>
          <c:showSerName val="0"/>
          <c:showPercent val="0"/>
          <c:showBubbleSize val="0"/>
        </c:dLbls>
        <c:gapWidth val="450"/>
        <c:axId val="-1366984544"/>
        <c:axId val="-1366998688"/>
      </c:barChart>
      <c:catAx>
        <c:axId val="-1366984544"/>
        <c:scaling>
          <c:orientation val="minMax"/>
        </c:scaling>
        <c:delete val="1"/>
        <c:axPos val="b"/>
        <c:numFmt formatCode="General" sourceLinked="1"/>
        <c:majorTickMark val="out"/>
        <c:minorTickMark val="none"/>
        <c:tickLblPos val="nextTo"/>
        <c:crossAx val="-1366998688"/>
        <c:crosses val="autoZero"/>
        <c:auto val="1"/>
        <c:lblAlgn val="ctr"/>
        <c:lblOffset val="100"/>
        <c:tickLblSkip val="1"/>
        <c:tickMarkSkip val="1"/>
        <c:noMultiLvlLbl val="0"/>
      </c:catAx>
      <c:valAx>
        <c:axId val="-1366998688"/>
        <c:scaling>
          <c:orientation val="minMax"/>
        </c:scaling>
        <c:delete val="0"/>
        <c:axPos val="l"/>
        <c:numFmt formatCode="0.00" sourceLinked="1"/>
        <c:majorTickMark val="out"/>
        <c:minorTickMark val="none"/>
        <c:tickLblPos val="nextTo"/>
        <c:spPr>
          <a:ln w="3175">
            <a:solidFill>
              <a:srgbClr val="000000"/>
            </a:solidFill>
            <a:prstDash val="solid"/>
          </a:ln>
        </c:spPr>
        <c:txPr>
          <a:bodyPr rot="0" vert="horz"/>
          <a:lstStyle/>
          <a:p>
            <a:pPr>
              <a:defRPr sz="875" b="0" i="0" u="none" strike="noStrike" baseline="0">
                <a:solidFill>
                  <a:srgbClr val="000000"/>
                </a:solidFill>
                <a:latin typeface="Arial"/>
                <a:ea typeface="Arial"/>
                <a:cs typeface="Arial"/>
              </a:defRPr>
            </a:pPr>
            <a:endParaRPr lang="en-US"/>
          </a:p>
        </c:txPr>
        <c:crossAx val="-1366984544"/>
        <c:crosses val="autoZero"/>
        <c:crossBetween val="between"/>
      </c:valAx>
      <c:spPr>
        <a:solidFill>
          <a:srgbClr val="FFFFFF"/>
        </a:solidFill>
        <a:ln w="12700">
          <a:solidFill>
            <a:srgbClr val="000000"/>
          </a:solidFill>
          <a:prstDash val="solid"/>
        </a:ln>
      </c:spPr>
    </c:plotArea>
    <c:legend>
      <c:legendPos val="r"/>
      <c:layout>
        <c:manualLayout>
          <c:xMode val="edge"/>
          <c:yMode val="edge"/>
          <c:x val="0.22400722309711285"/>
          <c:y val="0.87103093537456422"/>
          <c:w val="0.60641965354330718"/>
          <c:h val="6.501775513354946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a:scene3d>
      <a:camera prst="orthographicFront"/>
      <a:lightRig rig="threePt" dir="t"/>
    </a:scene3d>
    <a:sp3d>
      <a:bevelT/>
    </a:sp3d>
  </c:spPr>
  <c:txPr>
    <a:bodyPr/>
    <a:lstStyle/>
    <a:p>
      <a:pPr>
        <a:defRPr sz="1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855464887314377E-2"/>
          <c:y val="4.6703359352677706E-2"/>
          <c:w val="0.89308285805185983"/>
          <c:h val="0.60989092801732059"/>
        </c:manualLayout>
      </c:layout>
      <c:barChart>
        <c:barDir val="col"/>
        <c:grouping val="clustered"/>
        <c:varyColors val="0"/>
        <c:ser>
          <c:idx val="0"/>
          <c:order val="0"/>
          <c:spPr>
            <a:solidFill>
              <a:srgbClr val="FFCC00"/>
            </a:solidFill>
            <a:ln w="12700">
              <a:noFill/>
              <a:prstDash val="solid"/>
            </a:ln>
            <a:scene3d>
              <a:camera prst="orthographicFront"/>
              <a:lightRig rig="balanced" dir="t">
                <a:rot lat="0" lon="0" rev="7800000"/>
              </a:lightRig>
            </a:scene3d>
            <a:sp3d>
              <a:bevelT/>
            </a:sp3d>
          </c:spPr>
          <c:invertIfNegative val="0"/>
          <c:dPt>
            <c:idx val="0"/>
            <c:invertIfNegative val="0"/>
            <c:bubble3D val="0"/>
            <c:spPr>
              <a:solidFill>
                <a:srgbClr val="FF0000"/>
              </a:solidFill>
              <a:ln w="12700">
                <a:noFill/>
                <a:prstDash val="solid"/>
              </a:ln>
              <a:scene3d>
                <a:camera prst="orthographicFront"/>
                <a:lightRig rig="balanced" dir="t">
                  <a:rot lat="0" lon="0" rev="7800000"/>
                </a:lightRig>
              </a:scene3d>
              <a:sp3d>
                <a:bevelT/>
              </a:sp3d>
            </c:spPr>
            <c:extLst xmlns:c16r2="http://schemas.microsoft.com/office/drawing/2015/06/chart">
              <c:ext xmlns:c16="http://schemas.microsoft.com/office/drawing/2014/chart" uri="{C3380CC4-5D6E-409C-BE32-E72D297353CC}">
                <c16:uniqueId val="{00000000-65C8-44D6-A4BF-6957ADE85B39}"/>
              </c:ext>
            </c:extLst>
          </c:dPt>
          <c:dPt>
            <c:idx val="1"/>
            <c:invertIfNegative val="0"/>
            <c:bubble3D val="0"/>
            <c:spPr>
              <a:solidFill>
                <a:srgbClr val="666699"/>
              </a:solidFill>
              <a:ln w="12700">
                <a:noFill/>
                <a:prstDash val="solid"/>
              </a:ln>
              <a:scene3d>
                <a:camera prst="orthographicFront"/>
                <a:lightRig rig="balanced" dir="t">
                  <a:rot lat="0" lon="0" rev="7800000"/>
                </a:lightRig>
              </a:scene3d>
              <a:sp3d>
                <a:bevelT/>
              </a:sp3d>
            </c:spPr>
            <c:extLst xmlns:c16r2="http://schemas.microsoft.com/office/drawing/2015/06/chart">
              <c:ext xmlns:c16="http://schemas.microsoft.com/office/drawing/2014/chart" uri="{C3380CC4-5D6E-409C-BE32-E72D297353CC}">
                <c16:uniqueId val="{00000001-65C8-44D6-A4BF-6957ADE85B39}"/>
              </c:ext>
            </c:extLst>
          </c:dPt>
          <c:dPt>
            <c:idx val="2"/>
            <c:invertIfNegative val="0"/>
            <c:bubble3D val="0"/>
            <c:spPr>
              <a:solidFill>
                <a:srgbClr val="00B0F0"/>
              </a:solidFill>
              <a:ln w="12700">
                <a:noFill/>
                <a:prstDash val="solid"/>
              </a:ln>
              <a:scene3d>
                <a:camera prst="orthographicFront"/>
                <a:lightRig rig="balanced" dir="t">
                  <a:rot lat="0" lon="0" rev="7800000"/>
                </a:lightRig>
              </a:scene3d>
              <a:sp3d>
                <a:bevelT/>
              </a:sp3d>
            </c:spPr>
            <c:extLst xmlns:c16r2="http://schemas.microsoft.com/office/drawing/2015/06/chart">
              <c:ext xmlns:c16="http://schemas.microsoft.com/office/drawing/2014/chart" uri="{C3380CC4-5D6E-409C-BE32-E72D297353CC}">
                <c16:uniqueId val="{00000002-65C8-44D6-A4BF-6957ADE85B39}"/>
              </c:ext>
            </c:extLst>
          </c:dPt>
          <c:dPt>
            <c:idx val="3"/>
            <c:invertIfNegative val="0"/>
            <c:bubble3D val="0"/>
            <c:spPr>
              <a:pattFill prst="trellis">
                <a:fgClr>
                  <a:srgbClr val="00B050"/>
                </a:fgClr>
                <a:bgClr>
                  <a:srgbClr val="130000"/>
                </a:bgClr>
              </a:pattFill>
              <a:ln w="12700">
                <a:noFill/>
                <a:prstDash val="solid"/>
              </a:ln>
              <a:scene3d>
                <a:camera prst="orthographicFront"/>
                <a:lightRig rig="balanced" dir="t">
                  <a:rot lat="0" lon="0" rev="7800000"/>
                </a:lightRig>
              </a:scene3d>
              <a:sp3d>
                <a:bevelT/>
              </a:sp3d>
            </c:spPr>
            <c:extLst xmlns:c16r2="http://schemas.microsoft.com/office/drawing/2015/06/chart">
              <c:ext xmlns:c16="http://schemas.microsoft.com/office/drawing/2014/chart" uri="{C3380CC4-5D6E-409C-BE32-E72D297353CC}">
                <c16:uniqueId val="{00000003-65C8-44D6-A4BF-6957ADE85B39}"/>
              </c:ext>
            </c:extLst>
          </c:dPt>
          <c:dPt>
            <c:idx val="4"/>
            <c:invertIfNegative val="0"/>
            <c:bubble3D val="0"/>
            <c:spPr>
              <a:solidFill>
                <a:srgbClr val="FF9900"/>
              </a:solidFill>
              <a:ln w="12700">
                <a:noFill/>
                <a:prstDash val="solid"/>
              </a:ln>
              <a:scene3d>
                <a:camera prst="orthographicFront"/>
                <a:lightRig rig="balanced" dir="t">
                  <a:rot lat="0" lon="0" rev="7800000"/>
                </a:lightRig>
              </a:scene3d>
              <a:sp3d>
                <a:bevelT/>
              </a:sp3d>
            </c:spPr>
            <c:extLst xmlns:c16r2="http://schemas.microsoft.com/office/drawing/2015/06/chart">
              <c:ext xmlns:c16="http://schemas.microsoft.com/office/drawing/2014/chart" uri="{C3380CC4-5D6E-409C-BE32-E72D297353CC}">
                <c16:uniqueId val="{00000004-65C8-44D6-A4BF-6957ADE85B39}"/>
              </c:ext>
            </c:extLst>
          </c:dPt>
          <c:dPt>
            <c:idx val="5"/>
            <c:invertIfNegative val="0"/>
            <c:bubble3D val="0"/>
            <c:spPr>
              <a:pattFill prst="wdUpDiag">
                <a:fgClr>
                  <a:srgbClr val="3C0000"/>
                </a:fgClr>
                <a:bgClr>
                  <a:srgbClr val="090000"/>
                </a:bgClr>
              </a:pattFill>
              <a:ln w="12700">
                <a:noFill/>
                <a:prstDash val="solid"/>
              </a:ln>
              <a:scene3d>
                <a:camera prst="orthographicFront"/>
                <a:lightRig rig="balanced" dir="t">
                  <a:rot lat="0" lon="0" rev="7800000"/>
                </a:lightRig>
              </a:scene3d>
              <a:sp3d>
                <a:bevelT/>
              </a:sp3d>
            </c:spPr>
            <c:extLst xmlns:c16r2="http://schemas.microsoft.com/office/drawing/2015/06/chart">
              <c:ext xmlns:c16="http://schemas.microsoft.com/office/drawing/2014/chart" uri="{C3380CC4-5D6E-409C-BE32-E72D297353CC}">
                <c16:uniqueId val="{00000005-65C8-44D6-A4BF-6957ADE85B39}"/>
              </c:ext>
            </c:extLst>
          </c:dPt>
          <c:dLbls>
            <c:dLbl>
              <c:idx val="5"/>
              <c:spPr>
                <a:noFill/>
                <a:ln w="25400">
                  <a:noFill/>
                </a:ln>
              </c:spPr>
              <c:txPr>
                <a:bodyPr wrap="square" lIns="38100" tIns="19050" rIns="38100" bIns="19050" anchor="ctr">
                  <a:noAutofit/>
                </a:bodyPr>
                <a:lstStyle/>
                <a:p>
                  <a:pPr>
                    <a:defRPr sz="900" b="0" i="0" u="none" strike="noStrike" baseline="0">
                      <a:solidFill>
                        <a:srgbClr val="000000"/>
                      </a:solidFill>
                      <a:latin typeface="Times New Roman"/>
                      <a:ea typeface="Times New Roman"/>
                      <a:cs typeface="Times New Roman"/>
                    </a:defRPr>
                  </a:pPr>
                  <a:endParaRPr lang="en-US"/>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65C8-44D6-A4BF-6957ADE85B39}"/>
                </c:ext>
                <c:ext xmlns:c15="http://schemas.microsoft.com/office/drawing/2012/chart" uri="{CE6537A1-D6FC-4f65-9D91-7224C49458BB}">
                  <c15:spPr xmlns:c15="http://schemas.microsoft.com/office/drawing/2012/chart">
                    <a:prstGeom prst="rect">
                      <a:avLst/>
                    </a:prstGeom>
                  </c15:spPr>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Times New Roman"/>
                    <a:ea typeface="Times New Roman"/>
                    <a:cs typeface="Times New Roman"/>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'3'!$F$45:$K$45</c:f>
              <c:strCache>
                <c:ptCount val="6"/>
                <c:pt idx="0">
                  <c:v>Thermal</c:v>
                </c:pt>
                <c:pt idx="1">
                  <c:v>Nuclear</c:v>
                </c:pt>
                <c:pt idx="2">
                  <c:v>Hydro</c:v>
                </c:pt>
                <c:pt idx="3">
                  <c:v>RES</c:v>
                </c:pt>
                <c:pt idx="4">
                  <c:v>Total</c:v>
                </c:pt>
                <c:pt idx="5">
                  <c:v>Captive</c:v>
                </c:pt>
              </c:strCache>
            </c:strRef>
          </c:cat>
          <c:val>
            <c:numRef>
              <c:f>'3'!$F$46:$K$46</c:f>
              <c:numCache>
                <c:formatCode>0.00</c:formatCode>
                <c:ptCount val="6"/>
                <c:pt idx="0">
                  <c:v>234058.21800000002</c:v>
                </c:pt>
                <c:pt idx="1">
                  <c:v>6780</c:v>
                </c:pt>
                <c:pt idx="2">
                  <c:v>46322.220000000008</c:v>
                </c:pt>
                <c:pt idx="3">
                  <c:v>96955.505000000005</c:v>
                </c:pt>
                <c:pt idx="4">
                  <c:v>384115.94300000003</c:v>
                </c:pt>
                <c:pt idx="5" formatCode="General">
                  <c:v>78000</c:v>
                </c:pt>
              </c:numCache>
            </c:numRef>
          </c:val>
          <c:extLst xmlns:c16r2="http://schemas.microsoft.com/office/drawing/2015/06/chart">
            <c:ext xmlns:c16="http://schemas.microsoft.com/office/drawing/2014/chart" uri="{C3380CC4-5D6E-409C-BE32-E72D297353CC}">
              <c16:uniqueId val="{00000006-65C8-44D6-A4BF-6957ADE85B39}"/>
            </c:ext>
          </c:extLst>
        </c:ser>
        <c:dLbls>
          <c:showLegendKey val="0"/>
          <c:showVal val="0"/>
          <c:showCatName val="0"/>
          <c:showSerName val="0"/>
          <c:showPercent val="0"/>
          <c:showBubbleSize val="0"/>
        </c:dLbls>
        <c:gapWidth val="150"/>
        <c:axId val="-1366993792"/>
        <c:axId val="-1366997600"/>
      </c:barChart>
      <c:catAx>
        <c:axId val="-1366993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Times New Roman"/>
                <a:ea typeface="Times New Roman"/>
                <a:cs typeface="Times New Roman"/>
              </a:defRPr>
            </a:pPr>
            <a:endParaRPr lang="en-US"/>
          </a:p>
        </c:txPr>
        <c:crossAx val="-1366997600"/>
        <c:crosses val="autoZero"/>
        <c:auto val="1"/>
        <c:lblAlgn val="ctr"/>
        <c:lblOffset val="100"/>
        <c:tickLblSkip val="1"/>
        <c:tickMarkSkip val="1"/>
        <c:noMultiLvlLbl val="0"/>
      </c:catAx>
      <c:valAx>
        <c:axId val="-1366997600"/>
        <c:scaling>
          <c:orientation val="minMax"/>
        </c:scaling>
        <c:delete val="0"/>
        <c:axPos val="l"/>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Times New Roman"/>
                <a:ea typeface="Times New Roman"/>
                <a:cs typeface="Times New Roman"/>
              </a:defRPr>
            </a:pPr>
            <a:endParaRPr lang="en-US"/>
          </a:p>
        </c:txPr>
        <c:crossAx val="-1366993792"/>
        <c:crosses val="autoZero"/>
        <c:crossBetween val="between"/>
      </c:valAx>
      <c:spPr>
        <a:noFill/>
        <a:ln w="25400">
          <a:noFill/>
        </a:ln>
      </c:spPr>
    </c:plotArea>
    <c:legend>
      <c:legendPos val="r"/>
      <c:layout>
        <c:manualLayout>
          <c:xMode val="edge"/>
          <c:yMode val="edge"/>
          <c:x val="0.26493366411390357"/>
          <c:y val="0.80877061490308366"/>
          <c:w val="0.49628407906047861"/>
          <c:h val="0.10929330357769451"/>
        </c:manualLayout>
      </c:layout>
      <c:overlay val="0"/>
      <c:spPr>
        <a:solidFill>
          <a:srgbClr val="FFFFFF"/>
        </a:solidFill>
        <a:ln w="3175">
          <a:solidFill>
            <a:srgbClr val="000000"/>
          </a:solidFill>
          <a:prstDash val="solid"/>
        </a:ln>
      </c:spPr>
      <c:txPr>
        <a:bodyPr/>
        <a:lstStyle/>
        <a:p>
          <a:pPr>
            <a:defRPr sz="845" b="1" i="0" u="none" strike="noStrike" baseline="0">
              <a:solidFill>
                <a:srgbClr val="0000FF"/>
              </a:solidFill>
              <a:latin typeface="Times New Roman"/>
              <a:ea typeface="Times New Roman"/>
              <a:cs typeface="Times New Roman"/>
            </a:defRPr>
          </a:pPr>
          <a:endParaRPr lang="en-US"/>
        </a:p>
      </c:txPr>
    </c:legend>
    <c:plotVisOnly val="1"/>
    <c:dispBlanksAs val="gap"/>
    <c:showDLblsOverMax val="0"/>
  </c:chart>
  <c:spPr>
    <a:solidFill>
      <a:srgbClr val="FFFFFF"/>
    </a:solidFill>
    <a:ln w="3175">
      <a:solidFill>
        <a:srgbClr val="000000"/>
      </a:solidFill>
      <a:prstDash val="solid"/>
    </a:ln>
    <a:scene3d>
      <a:camera prst="orthographicFront"/>
      <a:lightRig rig="threePt" dir="t"/>
    </a:scene3d>
    <a:sp3d>
      <a:bevelT/>
    </a:sp3d>
  </c:spPr>
  <c:txPr>
    <a:bodyPr/>
    <a:lstStyle/>
    <a:p>
      <a:pPr>
        <a:defRPr sz="1775" b="0" i="0" u="none" strike="noStrike" baseline="0">
          <a:solidFill>
            <a:srgbClr val="0000FF"/>
          </a:solidFill>
          <a:latin typeface="Times New Roman"/>
          <a:ea typeface="Times New Roman"/>
          <a:cs typeface="Times New Roman"/>
        </a:defRPr>
      </a:pPr>
      <a:endParaRPr lang="en-US"/>
    </a:p>
  </c:txPr>
  <c:printSettings>
    <c:headerFooter alignWithMargins="0"/>
    <c:pageMargins b="1" l="0.75" r="0.75" t="1" header="0.5" footer="0.5"/>
    <c:pageSetup paperSize="9" orientation="landscape" horizontalDpi="30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All India Installed Capacity(MW) (Sector-Wise)</a:t>
            </a:r>
          </a:p>
        </c:rich>
      </c:tx>
      <c:layout>
        <c:manualLayout>
          <c:xMode val="edge"/>
          <c:yMode val="edge"/>
          <c:x val="0.30706199460916433"/>
          <c:y val="2.0930589783147335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457320706533305"/>
          <c:y val="0.22036096952271045"/>
          <c:w val="0.35592909838972836"/>
          <c:h val="0.54729891871668379"/>
        </c:manualLayout>
      </c:layout>
      <c:pieChart>
        <c:varyColors val="1"/>
        <c:ser>
          <c:idx val="0"/>
          <c:order val="0"/>
          <c:explosion val="1"/>
          <c:dPt>
            <c:idx val="0"/>
            <c:bubble3D val="0"/>
            <c:explosion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0-57CD-44D0-AEA8-DC171EDE57B8}"/>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1-57CD-44D0-AEA8-DC171EDE57B8}"/>
              </c:ext>
            </c:extLst>
          </c:dPt>
          <c:dPt>
            <c:idx val="2"/>
            <c:bubble3D val="0"/>
            <c:explosion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6r2="http://schemas.microsoft.com/office/drawing/2015/06/chart">
              <c:ext xmlns:c16="http://schemas.microsoft.com/office/drawing/2014/chart" uri="{C3380CC4-5D6E-409C-BE32-E72D297353CC}">
                <c16:uniqueId val="{00000002-57CD-44D0-AEA8-DC171EDE57B8}"/>
              </c:ext>
            </c:extLst>
          </c:dPt>
          <c:dLbls>
            <c:dLbl>
              <c:idx val="0"/>
              <c:layout>
                <c:manualLayout>
                  <c:x val="1.2115875718237922E-2"/>
                  <c:y val="7.5244251353376651E-3"/>
                </c:manualLayout>
              </c:layout>
              <c:dLblPos val="bestFit"/>
              <c:showLegendKey val="0"/>
              <c:showVal val="1"/>
              <c:showCatName val="1"/>
              <c:showSerName val="0"/>
              <c:showPercent val="1"/>
              <c:showBubbleSize val="0"/>
              <c:extLst xmlns:c16r2="http://schemas.microsoft.com/office/drawing/2015/06/chart">
                <c:ext xmlns:c16="http://schemas.microsoft.com/office/drawing/2014/chart" uri="{C3380CC4-5D6E-409C-BE32-E72D297353CC}">
                  <c16:uniqueId val="{00000000-57CD-44D0-AEA8-DC171EDE57B8}"/>
                </c:ext>
                <c:ext xmlns:c15="http://schemas.microsoft.com/office/drawing/2012/chart" uri="{CE6537A1-D6FC-4f65-9D91-7224C49458BB}"/>
              </c:extLst>
            </c:dLbl>
            <c:dLbl>
              <c:idx val="1"/>
              <c:layout>
                <c:manualLayout>
                  <c:x val="6.5126528995196289E-2"/>
                  <c:y val="1.2034220913225542E-2"/>
                </c:manualLayout>
              </c:layout>
              <c:dLblPos val="bestFit"/>
              <c:showLegendKey val="0"/>
              <c:showVal val="1"/>
              <c:showCatName val="1"/>
              <c:showSerName val="0"/>
              <c:showPercent val="1"/>
              <c:showBubbleSize val="0"/>
              <c:extLst xmlns:c16r2="http://schemas.microsoft.com/office/drawing/2015/06/chart">
                <c:ext xmlns:c16="http://schemas.microsoft.com/office/drawing/2014/chart" uri="{C3380CC4-5D6E-409C-BE32-E72D297353CC}">
                  <c16:uniqueId val="{00000001-57CD-44D0-AEA8-DC171EDE57B8}"/>
                </c:ext>
                <c:ext xmlns:c15="http://schemas.microsoft.com/office/drawing/2012/chart" uri="{CE6537A1-D6FC-4f65-9D91-7224C49458BB}"/>
              </c:extLst>
            </c:dLbl>
            <c:dLbl>
              <c:idx val="2"/>
              <c:layout>
                <c:manualLayout>
                  <c:x val="-2.1273675250053203E-2"/>
                  <c:y val="1.5544879311416794E-2"/>
                </c:manualLayout>
              </c:layout>
              <c:dLblPos val="bestFit"/>
              <c:showLegendKey val="0"/>
              <c:showVal val="1"/>
              <c:showCatName val="1"/>
              <c:showSerName val="0"/>
              <c:showPercent val="1"/>
              <c:showBubbleSize val="0"/>
              <c:extLst xmlns:c16r2="http://schemas.microsoft.com/office/drawing/2015/06/chart">
                <c:ext xmlns:c16="http://schemas.microsoft.com/office/drawing/2014/chart" uri="{C3380CC4-5D6E-409C-BE32-E72D297353CC}">
                  <c16:uniqueId val="{00000002-57CD-44D0-AEA8-DC171EDE57B8}"/>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'4'!$C$27:$C$29</c:f>
              <c:strCache>
                <c:ptCount val="3"/>
                <c:pt idx="0">
                  <c:v>State</c:v>
                </c:pt>
                <c:pt idx="1">
                  <c:v>Private</c:v>
                </c:pt>
                <c:pt idx="2">
                  <c:v>Central</c:v>
                </c:pt>
              </c:strCache>
            </c:strRef>
          </c:cat>
          <c:val>
            <c:numRef>
              <c:f>'4'!$E$27:$E$29</c:f>
              <c:numCache>
                <c:formatCode>0.00</c:formatCode>
                <c:ptCount val="3"/>
                <c:pt idx="0">
                  <c:v>103875.63499999999</c:v>
                </c:pt>
                <c:pt idx="1">
                  <c:v>183403.378</c:v>
                </c:pt>
                <c:pt idx="2">
                  <c:v>96836.930000000008</c:v>
                </c:pt>
              </c:numCache>
            </c:numRef>
          </c:val>
          <c:extLst xmlns:c16r2="http://schemas.microsoft.com/office/drawing/2015/06/chart">
            <c:ext xmlns:c16="http://schemas.microsoft.com/office/drawing/2014/chart" uri="{C3380CC4-5D6E-409C-BE32-E72D297353CC}">
              <c16:uniqueId val="{00000003-57CD-44D0-AEA8-DC171EDE57B8}"/>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alignWithMargins="0"/>
    <c:pageMargins b="1" l="0.75" r="0.75" t="1" header="0.5" footer="0.5"/>
    <c:pageSetup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'5'!$D$3</c:f>
              <c:strCache>
                <c:ptCount val="1"/>
                <c:pt idx="0">
                  <c:v>Jun-20</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'5'!$C$4:$C$9</c15:sqref>
                  </c15:fullRef>
                </c:ext>
              </c:extLst>
              <c:f>'5'!$C$9</c:f>
              <c:strCache>
                <c:ptCount val="1"/>
                <c:pt idx="0">
                  <c:v>All India</c:v>
                </c:pt>
              </c:strCache>
            </c:strRef>
          </c:cat>
          <c:val>
            <c:numRef>
              <c:extLst>
                <c:ext xmlns:c15="http://schemas.microsoft.com/office/drawing/2012/chart" uri="{02D57815-91ED-43cb-92C2-25804820EDAC}">
                  <c15:fullRef>
                    <c15:sqref>'5'!$D$4:$D$9</c15:sqref>
                  </c15:fullRef>
                </c:ext>
              </c:extLst>
              <c:f>'5'!$D$9</c:f>
              <c:numCache>
                <c:formatCode>General</c:formatCode>
                <c:ptCount val="1"/>
                <c:pt idx="0">
                  <c:v>392</c:v>
                </c:pt>
              </c:numCache>
            </c:numRef>
          </c:val>
          <c:extLst xmlns:c16r2="http://schemas.microsoft.com/office/drawing/2015/06/chart">
            <c:ext xmlns:c16="http://schemas.microsoft.com/office/drawing/2014/chart" uri="{C3380CC4-5D6E-409C-BE32-E72D297353CC}">
              <c16:uniqueId val="{00000000-4BDB-4980-A60A-67D61A6EED26}"/>
            </c:ext>
          </c:extLst>
        </c:ser>
        <c:ser>
          <c:idx val="2"/>
          <c:order val="2"/>
          <c:tx>
            <c:strRef>
              <c:f>'5'!$F$3</c:f>
              <c:strCache>
                <c:ptCount val="1"/>
                <c:pt idx="0">
                  <c:v>Jun-21</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'5'!$C$4:$C$9</c15:sqref>
                  </c15:fullRef>
                </c:ext>
              </c:extLst>
              <c:f>'5'!$C$9</c:f>
              <c:strCache>
                <c:ptCount val="1"/>
                <c:pt idx="0">
                  <c:v>All India</c:v>
                </c:pt>
              </c:strCache>
            </c:strRef>
          </c:cat>
          <c:val>
            <c:numRef>
              <c:extLst>
                <c:ext xmlns:c15="http://schemas.microsoft.com/office/drawing/2012/chart" uri="{02D57815-91ED-43cb-92C2-25804820EDAC}">
                  <c15:fullRef>
                    <c15:sqref>'5'!$F$4:$F$9</c15:sqref>
                  </c15:fullRef>
                </c:ext>
              </c:extLst>
              <c:f>'5'!$F$9</c:f>
              <c:numCache>
                <c:formatCode>0</c:formatCode>
                <c:ptCount val="1"/>
                <c:pt idx="0" formatCode="General">
                  <c:v>851</c:v>
                </c:pt>
              </c:numCache>
            </c:numRef>
          </c:val>
          <c:extLst xmlns:c16r2="http://schemas.microsoft.com/office/drawing/2015/06/chart">
            <c:ext xmlns:c16="http://schemas.microsoft.com/office/drawing/2014/chart" uri="{C3380CC4-5D6E-409C-BE32-E72D297353CC}">
              <c16:uniqueId val="{00000002-4BDB-4980-A60A-67D61A6EED26}"/>
            </c:ext>
          </c:extLst>
        </c:ser>
        <c:dLbls>
          <c:dLblPos val="outEnd"/>
          <c:showLegendKey val="0"/>
          <c:showVal val="1"/>
          <c:showCatName val="0"/>
          <c:showSerName val="0"/>
          <c:showPercent val="0"/>
          <c:showBubbleSize val="0"/>
        </c:dLbls>
        <c:gapWidth val="219"/>
        <c:overlap val="-27"/>
        <c:axId val="-1366991072"/>
        <c:axId val="-1366990528"/>
        <c:extLst xmlns:c16r2="http://schemas.microsoft.com/office/drawing/2015/06/chart">
          <c:ext xmlns:c15="http://schemas.microsoft.com/office/drawing/2012/chart" uri="{02D57815-91ED-43cb-92C2-25804820EDAC}">
            <c15:filteredBarSeries>
              <c15:ser>
                <c:idx val="1"/>
                <c:order val="1"/>
                <c:tx>
                  <c:strRef>
                    <c:extLst xmlns:c16r2="http://schemas.microsoft.com/office/drawing/2015/06/chart">
                      <c:ext uri="{02D57815-91ED-43cb-92C2-25804820EDAC}">
                        <c15:formulaRef>
                          <c15:sqref>'5'!$E$3</c15:sqref>
                        </c15:formulaRef>
                      </c:ext>
                    </c:extLst>
                    <c:strCache>
                      <c:ptCount val="1"/>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'5'!$C$4:$C$9</c15:sqref>
                        </c15:fullRef>
                        <c15:formulaRef>
                          <c15:sqref>'5'!$C$9</c15:sqref>
                        </c15:formulaRef>
                      </c:ext>
                    </c:extLst>
                    <c:strCache>
                      <c:ptCount val="1"/>
                      <c:pt idx="0">
                        <c:v>All India</c:v>
                      </c:pt>
                    </c:strCache>
                  </c:strRef>
                </c:cat>
                <c:val>
                  <c:numRef>
                    <c:extLst>
                      <c:ext uri="{02D57815-91ED-43cb-92C2-25804820EDAC}">
                        <c15:fullRef>
                          <c15:sqref>'5'!$E$4:$E$9</c15:sqref>
                        </c15:fullRef>
                        <c15:formulaRef>
                          <c15:sqref>'5'!$E$9</c15:sqref>
                        </c15:formulaRef>
                      </c:ext>
                    </c:extLst>
                    <c:numCache>
                      <c:formatCode>General</c:formatCode>
                      <c:ptCount val="1"/>
                    </c:numCache>
                  </c:numRef>
                </c:val>
                <c:extLst xmlns:c16r2="http://schemas.microsoft.com/office/drawing/2015/06/chart">
                  <c:ext xmlns:c16="http://schemas.microsoft.com/office/drawing/2014/chart" uri="{C3380CC4-5D6E-409C-BE32-E72D297353CC}">
                    <c16:uniqueId val="{00000001-4BDB-4980-A60A-67D61A6EED26}"/>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'5'!$G$3</c15:sqref>
                        </c15:formulaRef>
                      </c:ext>
                    </c:extLst>
                    <c:strCache>
                      <c:ptCount val="1"/>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'5'!$C$4:$C$9</c15:sqref>
                        </c15:fullRef>
                        <c15:formulaRef>
                          <c15:sqref>'5'!$C$9</c15:sqref>
                        </c15:formulaRef>
                      </c:ext>
                    </c:extLst>
                    <c:strCache>
                      <c:ptCount val="1"/>
                      <c:pt idx="0">
                        <c:v>All India</c:v>
                      </c:pt>
                    </c:strCache>
                  </c:strRef>
                </c:cat>
                <c:val>
                  <c:numRef>
                    <c:extLst>
                      <c:ext xmlns:c15="http://schemas.microsoft.com/office/drawing/2012/chart" uri="{02D57815-91ED-43cb-92C2-25804820EDAC}">
                        <c15:fullRef>
                          <c15:sqref>'5'!$G$4:$G$9</c15:sqref>
                        </c15:fullRef>
                        <c15:formulaRef>
                          <c15:sqref>'5'!$G$9</c15:sqref>
                        </c15:formulaRef>
                      </c:ext>
                    </c:extLst>
                    <c:numCache>
                      <c:formatCode>General</c:formatCode>
                      <c:ptCount val="1"/>
                    </c:numCache>
                  </c:numRef>
                </c:val>
                <c:extLst xmlns:c16r2="http://schemas.microsoft.com/office/drawing/2015/06/chart" xmlns:c15="http://schemas.microsoft.com/office/drawing/2012/chart">
                  <c:ext xmlns:c16="http://schemas.microsoft.com/office/drawing/2014/chart" uri="{C3380CC4-5D6E-409C-BE32-E72D297353CC}">
                    <c16:uniqueId val="{00000003-4BDB-4980-A60A-67D61A6EED26}"/>
                  </c:ext>
                </c:extLst>
              </c15:ser>
            </c15:filteredBarSeries>
          </c:ext>
        </c:extLst>
      </c:barChart>
      <c:catAx>
        <c:axId val="-1366991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6990528"/>
        <c:crosses val="autoZero"/>
        <c:auto val="1"/>
        <c:lblAlgn val="ctr"/>
        <c:lblOffset val="100"/>
        <c:noMultiLvlLbl val="0"/>
      </c:catAx>
      <c:valAx>
        <c:axId val="-13669905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Ckms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6991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'5'!$D$27</c:f>
              <c:strCache>
                <c:ptCount val="1"/>
                <c:pt idx="0">
                  <c:v>Apr-20 to Jun-20</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'5'!$C$28:$C$33</c15:sqref>
                  </c15:fullRef>
                </c:ext>
              </c:extLst>
              <c:f>'5'!$C$33</c:f>
              <c:strCache>
                <c:ptCount val="1"/>
                <c:pt idx="0">
                  <c:v>All India</c:v>
                </c:pt>
              </c:strCache>
            </c:strRef>
          </c:cat>
          <c:val>
            <c:numRef>
              <c:extLst>
                <c:ext xmlns:c15="http://schemas.microsoft.com/office/drawing/2012/chart" uri="{02D57815-91ED-43cb-92C2-25804820EDAC}">
                  <c15:fullRef>
                    <c15:sqref>'5'!$D$28:$D$33</c15:sqref>
                  </c15:fullRef>
                </c:ext>
              </c:extLst>
              <c:f>'5'!$D$33</c:f>
              <c:numCache>
                <c:formatCode>General</c:formatCode>
                <c:ptCount val="1"/>
                <c:pt idx="0">
                  <c:v>1091</c:v>
                </c:pt>
              </c:numCache>
            </c:numRef>
          </c:val>
          <c:extLst xmlns:c16r2="http://schemas.microsoft.com/office/drawing/2015/06/chart">
            <c:ext xmlns:c16="http://schemas.microsoft.com/office/drawing/2014/chart" uri="{C3380CC4-5D6E-409C-BE32-E72D297353CC}">
              <c16:uniqueId val="{00000000-3ED2-407B-9CCA-3ED4D5540871}"/>
            </c:ext>
          </c:extLst>
        </c:ser>
        <c:ser>
          <c:idx val="2"/>
          <c:order val="2"/>
          <c:tx>
            <c:strRef>
              <c:f>'5'!$F$27</c:f>
              <c:strCache>
                <c:ptCount val="1"/>
                <c:pt idx="0">
                  <c:v>Apr-21 to Jun-21</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'5'!$C$28:$C$33</c15:sqref>
                  </c15:fullRef>
                </c:ext>
              </c:extLst>
              <c:f>'5'!$C$33</c:f>
              <c:strCache>
                <c:ptCount val="1"/>
                <c:pt idx="0">
                  <c:v>All India</c:v>
                </c:pt>
              </c:strCache>
            </c:strRef>
          </c:cat>
          <c:val>
            <c:numRef>
              <c:extLst>
                <c:ext xmlns:c15="http://schemas.microsoft.com/office/drawing/2012/chart" uri="{02D57815-91ED-43cb-92C2-25804820EDAC}">
                  <c15:fullRef>
                    <c15:sqref>'5'!$F$28:$F$33</c15:sqref>
                  </c15:fullRef>
                </c:ext>
              </c:extLst>
              <c:f>'5'!$F$33</c:f>
              <c:numCache>
                <c:formatCode>0</c:formatCode>
                <c:ptCount val="1"/>
                <c:pt idx="0" formatCode="General">
                  <c:v>1550</c:v>
                </c:pt>
              </c:numCache>
            </c:numRef>
          </c:val>
          <c:extLst xmlns:c16r2="http://schemas.microsoft.com/office/drawing/2015/06/chart">
            <c:ext xmlns:c16="http://schemas.microsoft.com/office/drawing/2014/chart" uri="{C3380CC4-5D6E-409C-BE32-E72D297353CC}">
              <c16:uniqueId val="{00000002-3ED2-407B-9CCA-3ED4D5540871}"/>
            </c:ext>
          </c:extLst>
        </c:ser>
        <c:dLbls>
          <c:dLblPos val="outEnd"/>
          <c:showLegendKey val="0"/>
          <c:showVal val="1"/>
          <c:showCatName val="0"/>
          <c:showSerName val="0"/>
          <c:showPercent val="0"/>
          <c:showBubbleSize val="0"/>
        </c:dLbls>
        <c:gapWidth val="219"/>
        <c:overlap val="-27"/>
        <c:axId val="-1232400592"/>
        <c:axId val="-1232398416"/>
        <c:extLst xmlns:c16r2="http://schemas.microsoft.com/office/drawing/2015/06/chart">
          <c:ext xmlns:c15="http://schemas.microsoft.com/office/drawing/2012/chart" uri="{02D57815-91ED-43cb-92C2-25804820EDAC}">
            <c15:filteredBarSeries>
              <c15:ser>
                <c:idx val="1"/>
                <c:order val="1"/>
                <c:tx>
                  <c:strRef>
                    <c:extLst xmlns:c16r2="http://schemas.microsoft.com/office/drawing/2015/06/chart">
                      <c:ext uri="{02D57815-91ED-43cb-92C2-25804820EDAC}">
                        <c15:formulaRef>
                          <c15:sqref>'5'!$E$27</c15:sqref>
                        </c15:formulaRef>
                      </c:ext>
                    </c:extLst>
                    <c:strCache>
                      <c:ptCount val="1"/>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'5'!$C$28:$C$33</c15:sqref>
                        </c15:fullRef>
                        <c15:formulaRef>
                          <c15:sqref>'5'!$C$33</c15:sqref>
                        </c15:formulaRef>
                      </c:ext>
                    </c:extLst>
                    <c:strCache>
                      <c:ptCount val="1"/>
                      <c:pt idx="0">
                        <c:v>All India</c:v>
                      </c:pt>
                    </c:strCache>
                  </c:strRef>
                </c:cat>
                <c:val>
                  <c:numRef>
                    <c:extLst>
                      <c:ext uri="{02D57815-91ED-43cb-92C2-25804820EDAC}">
                        <c15:fullRef>
                          <c15:sqref>'5'!$E$28:$E$33</c15:sqref>
                        </c15:fullRef>
                        <c15:formulaRef>
                          <c15:sqref>'5'!$E$33</c15:sqref>
                        </c15:formulaRef>
                      </c:ext>
                    </c:extLst>
                    <c:numCache>
                      <c:formatCode>General</c:formatCode>
                      <c:ptCount val="1"/>
                    </c:numCache>
                  </c:numRef>
                </c:val>
                <c:extLst xmlns:c16r2="http://schemas.microsoft.com/office/drawing/2015/06/chart">
                  <c:ext xmlns:c16="http://schemas.microsoft.com/office/drawing/2014/chart" uri="{C3380CC4-5D6E-409C-BE32-E72D297353CC}">
                    <c16:uniqueId val="{00000001-3ED2-407B-9CCA-3ED4D5540871}"/>
                  </c:ext>
                </c:extLst>
              </c15:ser>
            </c15:filteredBarSeries>
            <c15:filteredBarSeries>
              <c15:ser>
                <c:idx val="3"/>
                <c:order val="3"/>
                <c:tx>
                  <c:strRef>
                    <c:extLst xmlns:c16r2="http://schemas.microsoft.com/office/drawing/2015/06/chart" xmlns:c15="http://schemas.microsoft.com/office/drawing/2012/chart">
                      <c:ext xmlns:c15="http://schemas.microsoft.com/office/drawing/2012/chart" uri="{02D57815-91ED-43cb-92C2-25804820EDAC}">
                        <c15:formulaRef>
                          <c15:sqref>'5'!$G$27</c15:sqref>
                        </c15:formulaRef>
                      </c:ext>
                    </c:extLst>
                    <c:strCache>
                      <c:ptCount val="1"/>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'5'!$C$28:$C$33</c15:sqref>
                        </c15:fullRef>
                        <c15:formulaRef>
                          <c15:sqref>'5'!$C$33</c15:sqref>
                        </c15:formulaRef>
                      </c:ext>
                    </c:extLst>
                    <c:strCache>
                      <c:ptCount val="1"/>
                      <c:pt idx="0">
                        <c:v>All India</c:v>
                      </c:pt>
                    </c:strCache>
                  </c:strRef>
                </c:cat>
                <c:val>
                  <c:numRef>
                    <c:extLst>
                      <c:ext xmlns:c15="http://schemas.microsoft.com/office/drawing/2012/chart" uri="{02D57815-91ED-43cb-92C2-25804820EDAC}">
                        <c15:fullRef>
                          <c15:sqref>'5'!$G$28:$G$33</c15:sqref>
                        </c15:fullRef>
                        <c15:formulaRef>
                          <c15:sqref>'5'!$G$33</c15:sqref>
                        </c15:formulaRef>
                      </c:ext>
                    </c:extLst>
                    <c:numCache>
                      <c:formatCode>General</c:formatCode>
                      <c:ptCount val="1"/>
                    </c:numCache>
                  </c:numRef>
                </c:val>
                <c:extLst xmlns:c16r2="http://schemas.microsoft.com/office/drawing/2015/06/chart" xmlns:c15="http://schemas.microsoft.com/office/drawing/2012/chart">
                  <c:ext xmlns:c16="http://schemas.microsoft.com/office/drawing/2014/chart" uri="{C3380CC4-5D6E-409C-BE32-E72D297353CC}">
                    <c16:uniqueId val="{00000003-3ED2-407B-9CCA-3ED4D5540871}"/>
                  </c:ext>
                </c:extLst>
              </c15:ser>
            </c15:filteredBarSeries>
          </c:ext>
        </c:extLst>
      </c:barChart>
      <c:catAx>
        <c:axId val="-1232400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2398416"/>
        <c:crosses val="autoZero"/>
        <c:auto val="1"/>
        <c:lblAlgn val="ctr"/>
        <c:lblOffset val="100"/>
        <c:noMultiLvlLbl val="0"/>
      </c:catAx>
      <c:valAx>
        <c:axId val="-1232398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Ckms</a:t>
                </a:r>
              </a:p>
              <a:p>
                <a:pPr>
                  <a:defRPr/>
                </a:pP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2400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6164988870062127"/>
          <c:y val="0.33184758519971003"/>
          <c:w val="0.80984516971906839"/>
          <c:h val="0.45777976466911746"/>
        </c:manualLayout>
      </c:layout>
      <c:barChart>
        <c:barDir val="col"/>
        <c:grouping val="clustered"/>
        <c:varyColors val="0"/>
        <c:ser>
          <c:idx val="0"/>
          <c:order val="0"/>
          <c:tx>
            <c:strRef>
              <c:f>'6'!$D$3:$E$3</c:f>
              <c:strCache>
                <c:ptCount val="1"/>
                <c:pt idx="0">
                  <c:v>Jun-20</c:v>
                </c:pt>
              </c:strCache>
            </c:strRef>
          </c:tx>
          <c:spPr>
            <a:solidFill>
              <a:srgbClr val="33CCCC"/>
            </a:solidFill>
            <a:ln w="12700">
              <a:noFill/>
              <a:prstDash val="solid"/>
            </a:ln>
            <a:effectLst/>
            <a:scene3d>
              <a:camera prst="orthographicFront"/>
              <a:lightRig rig="threePt" dir="t"/>
            </a:scene3d>
            <a:sp3d>
              <a:bevelT/>
            </a:sp3d>
          </c:spPr>
          <c:invertIfNegative val="0"/>
          <c:dLbls>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val>
            <c:numRef>
              <c:f>'6'!$D$10</c:f>
              <c:numCache>
                <c:formatCode>General</c:formatCode>
                <c:ptCount val="1"/>
                <c:pt idx="0">
                  <c:v>1020</c:v>
                </c:pt>
              </c:numCache>
            </c:numRef>
          </c:val>
          <c:extLst xmlns:c16r2="http://schemas.microsoft.com/office/drawing/2015/06/chart">
            <c:ext xmlns:c16="http://schemas.microsoft.com/office/drawing/2014/chart" uri="{C3380CC4-5D6E-409C-BE32-E72D297353CC}">
              <c16:uniqueId val="{00000000-65C8-48EF-BE49-30DB85429478}"/>
            </c:ext>
          </c:extLst>
        </c:ser>
        <c:ser>
          <c:idx val="1"/>
          <c:order val="1"/>
          <c:tx>
            <c:strRef>
              <c:f>'6'!$F$3:$G$3</c:f>
              <c:strCache>
                <c:ptCount val="1"/>
                <c:pt idx="0">
                  <c:v>Jun-21</c:v>
                </c:pt>
              </c:strCache>
            </c:strRef>
          </c:tx>
          <c:spPr>
            <a:gradFill>
              <a:gsLst>
                <a:gs pos="0">
                  <a:schemeClr val="accent5">
                    <a:lumMod val="67000"/>
                  </a:schemeClr>
                </a:gs>
                <a:gs pos="0">
                  <a:schemeClr val="accent5">
                    <a:lumMod val="97000"/>
                    <a:lumOff val="3000"/>
                  </a:schemeClr>
                </a:gs>
                <a:gs pos="57000">
                  <a:schemeClr val="accent5">
                    <a:lumMod val="60000"/>
                    <a:lumOff val="40000"/>
                  </a:schemeClr>
                </a:gs>
              </a:gsLst>
              <a:lin ang="16200000" scaled="1"/>
            </a:gradFill>
            <a:ln w="12700">
              <a:noFill/>
              <a:prstDash val="solid"/>
            </a:ln>
            <a:effectLst>
              <a:outerShdw blurRad="165100" dist="38100" dir="1560000" sx="104000" sy="104000" algn="l" rotWithShape="0">
                <a:prstClr val="black">
                  <a:alpha val="43000"/>
                </a:prstClr>
              </a:outerShdw>
            </a:effectLst>
            <a:scene3d>
              <a:camera prst="orthographicFront"/>
              <a:lightRig rig="threePt" dir="t"/>
            </a:scene3d>
            <a:sp3d>
              <a:bevelT/>
            </a:sp3d>
          </c:spPr>
          <c:invertIfNegative val="0"/>
          <c:dPt>
            <c:idx val="0"/>
            <c:invertIfNegative val="0"/>
            <c:bubble3D val="0"/>
            <c:spPr>
              <a:gradFill flip="none" rotWithShape="1">
                <a:gsLst>
                  <a:gs pos="0">
                    <a:schemeClr val="accent5">
                      <a:lumMod val="67000"/>
                    </a:schemeClr>
                  </a:gs>
                  <a:gs pos="0">
                    <a:schemeClr val="accent5">
                      <a:lumMod val="97000"/>
                      <a:lumOff val="3000"/>
                    </a:schemeClr>
                  </a:gs>
                  <a:gs pos="57000">
                    <a:schemeClr val="accent5">
                      <a:lumMod val="60000"/>
                      <a:lumOff val="40000"/>
                    </a:schemeClr>
                  </a:gs>
                </a:gsLst>
                <a:lin ang="16200000" scaled="1"/>
                <a:tileRect/>
              </a:gradFill>
              <a:ln w="12700">
                <a:noFill/>
                <a:prstDash val="solid"/>
              </a:ln>
              <a:effectLst>
                <a:outerShdw blurRad="165100" dist="38100" dir="1560000" sx="104000" sy="104000" algn="l" rotWithShape="0">
                  <a:prstClr val="black">
                    <a:alpha val="43000"/>
                  </a:prstClr>
                </a:outerShdw>
              </a:effectLst>
              <a:scene3d>
                <a:camera prst="orthographicFront"/>
                <a:lightRig rig="threePt" dir="t"/>
              </a:scene3d>
              <a:sp3d>
                <a:bevelT/>
              </a:sp3d>
            </c:spPr>
            <c:extLst xmlns:c16r2="http://schemas.microsoft.com/office/drawing/2015/06/chart">
              <c:ext xmlns:c16="http://schemas.microsoft.com/office/drawing/2014/chart" uri="{C3380CC4-5D6E-409C-BE32-E72D297353CC}">
                <c16:uniqueId val="{00000001-65C8-48EF-BE49-30DB85429478}"/>
              </c:ext>
            </c:extLst>
          </c:dPt>
          <c:dLbls>
            <c:dLbl>
              <c:idx val="0"/>
              <c:layout>
                <c:manualLayout>
                  <c:x val="0"/>
                  <c:y val="-3.5555555555555556E-2"/>
                </c:manualLayout>
              </c:layout>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5C8-48EF-BE49-30DB85429478}"/>
                </c:ex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val>
            <c:numRef>
              <c:f>'6'!$F$10</c:f>
              <c:numCache>
                <c:formatCode>General</c:formatCode>
                <c:ptCount val="1"/>
                <c:pt idx="0">
                  <c:v>3222</c:v>
                </c:pt>
              </c:numCache>
            </c:numRef>
          </c:val>
          <c:extLst xmlns:c16r2="http://schemas.microsoft.com/office/drawing/2015/06/chart">
            <c:ext xmlns:c16="http://schemas.microsoft.com/office/drawing/2014/chart" uri="{C3380CC4-5D6E-409C-BE32-E72D297353CC}">
              <c16:uniqueId val="{00000002-65C8-48EF-BE49-30DB85429478}"/>
            </c:ext>
          </c:extLst>
        </c:ser>
        <c:dLbls>
          <c:showLegendKey val="0"/>
          <c:showVal val="0"/>
          <c:showCatName val="0"/>
          <c:showSerName val="0"/>
          <c:showPercent val="0"/>
          <c:showBubbleSize val="0"/>
        </c:dLbls>
        <c:gapWidth val="400"/>
        <c:axId val="-1232397328"/>
        <c:axId val="-1232404400"/>
      </c:barChart>
      <c:catAx>
        <c:axId val="-1232397328"/>
        <c:scaling>
          <c:orientation val="minMax"/>
        </c:scaling>
        <c:delete val="0"/>
        <c:axPos val="b"/>
        <c:majorTickMark val="out"/>
        <c:minorTickMark val="none"/>
        <c:tickLblPos val="none"/>
        <c:spPr>
          <a:ln w="3175">
            <a:solidFill>
              <a:srgbClr val="000000"/>
            </a:solidFill>
            <a:prstDash val="solid"/>
          </a:ln>
        </c:spPr>
        <c:crossAx val="-1232404400"/>
        <c:crosses val="autoZero"/>
        <c:auto val="1"/>
        <c:lblAlgn val="ctr"/>
        <c:lblOffset val="100"/>
        <c:tickMarkSkip val="1"/>
        <c:noMultiLvlLbl val="0"/>
      </c:catAx>
      <c:valAx>
        <c:axId val="-1232404400"/>
        <c:scaling>
          <c:orientation val="minMax"/>
        </c:scaling>
        <c:delete val="0"/>
        <c:axPos val="l"/>
        <c:title>
          <c:tx>
            <c:rich>
              <a:bodyPr/>
              <a:lstStyle/>
              <a:p>
                <a:pPr>
                  <a:defRPr sz="800" b="1" i="0" u="none" strike="noStrike" baseline="0">
                    <a:solidFill>
                      <a:srgbClr val="000000"/>
                    </a:solidFill>
                    <a:latin typeface="Arial"/>
                    <a:ea typeface="Arial"/>
                    <a:cs typeface="Arial"/>
                  </a:defRPr>
                </a:pPr>
                <a:r>
                  <a:rPr lang="en-US"/>
                  <a:t>MVA</a:t>
                </a:r>
              </a:p>
            </c:rich>
          </c:tx>
          <c:layout>
            <c:manualLayout>
              <c:xMode val="edge"/>
              <c:yMode val="edge"/>
              <c:x val="3.5794101686656254E-2"/>
              <c:y val="0.5022245371079587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32397328"/>
        <c:crosses val="autoZero"/>
        <c:crossBetween val="between"/>
      </c:valAx>
      <c:spPr>
        <a:noFill/>
        <a:ln w="25400">
          <a:noFill/>
        </a:ln>
      </c:spPr>
    </c:plotArea>
    <c:legend>
      <c:legendPos val="r"/>
      <c:layout>
        <c:manualLayout>
          <c:xMode val="edge"/>
          <c:yMode val="edge"/>
          <c:x val="0.30169773082162199"/>
          <c:y val="0.86384141671007075"/>
          <c:w val="0.44516229775075589"/>
          <c:h val="9.7279532665420776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a:scene3d>
      <a:camera prst="orthographicFront"/>
      <a:lightRig rig="threePt" dir="t"/>
    </a:scene3d>
    <a:sp3d>
      <a:bevelT/>
    </a:sp3d>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8248647937796918E-2"/>
          <c:y val="0.1578181818181818"/>
          <c:w val="0.81982162298885963"/>
          <c:h val="0.6504795991410165"/>
        </c:manualLayout>
      </c:layout>
      <c:barChart>
        <c:barDir val="col"/>
        <c:grouping val="clustered"/>
        <c:varyColors val="0"/>
        <c:ser>
          <c:idx val="0"/>
          <c:order val="0"/>
          <c:tx>
            <c:strRef>
              <c:f>'6'!$D$28:$E$28</c:f>
              <c:strCache>
                <c:ptCount val="1"/>
                <c:pt idx="0">
                  <c:v>Apr-20 to Jun-20</c:v>
                </c:pt>
              </c:strCache>
            </c:strRef>
          </c:tx>
          <c:spPr>
            <a:solidFill>
              <a:srgbClr val="33CCCC"/>
            </a:solidFill>
            <a:ln w="12700">
              <a:noFill/>
              <a:prstDash val="solid"/>
            </a:ln>
            <a:effectLst>
              <a:outerShdw blurRad="304800" dist="50800" sx="79000" sy="79000" algn="ctr" rotWithShape="0">
                <a:srgbClr val="000000">
                  <a:alpha val="43137"/>
                </a:srgbClr>
              </a:outerShdw>
            </a:effectLst>
            <a:scene3d>
              <a:camera prst="orthographicFront"/>
              <a:lightRig rig="threePt" dir="t"/>
            </a:scene3d>
            <a:sp3d>
              <a:bevelT/>
            </a:sp3d>
          </c:spPr>
          <c:invertIfNegative val="0"/>
          <c:dLbls>
            <c:dLbl>
              <c:idx val="0"/>
              <c:layout>
                <c:manualLayout>
                  <c:x val="-1.8769402733171403E-3"/>
                  <c:y val="5.1972637278607792E-3"/>
                </c:manualLayout>
              </c:layout>
              <c:spPr>
                <a:noFill/>
                <a:ln w="25400">
                  <a:noFill/>
                </a:ln>
              </c:spPr>
              <c:txPr>
                <a:bodyPr/>
                <a:lstStyle/>
                <a:p>
                  <a:pPr>
                    <a:defRPr sz="8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382-4B44-9714-3A01275D9531}"/>
                </c:ex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val>
            <c:numRef>
              <c:f>'6'!$D$35</c:f>
              <c:numCache>
                <c:formatCode>General</c:formatCode>
                <c:ptCount val="1"/>
                <c:pt idx="0">
                  <c:v>7390</c:v>
                </c:pt>
              </c:numCache>
            </c:numRef>
          </c:val>
          <c:extLst xmlns:c16r2="http://schemas.microsoft.com/office/drawing/2015/06/chart">
            <c:ext xmlns:c16="http://schemas.microsoft.com/office/drawing/2014/chart" uri="{C3380CC4-5D6E-409C-BE32-E72D297353CC}">
              <c16:uniqueId val="{00000001-7862-4FBA-9391-8CDA1DE75713}"/>
            </c:ext>
          </c:extLst>
        </c:ser>
        <c:ser>
          <c:idx val="1"/>
          <c:order val="1"/>
          <c:tx>
            <c:strRef>
              <c:f>'6'!$F$28:$G$28</c:f>
              <c:strCache>
                <c:ptCount val="1"/>
                <c:pt idx="0">
                  <c:v>Apr-21 to Jun-21</c:v>
                </c:pt>
              </c:strCache>
            </c:strRef>
          </c:tx>
          <c:spPr>
            <a:gradFill>
              <a:gsLst>
                <a:gs pos="0">
                  <a:schemeClr val="accent5">
                    <a:lumMod val="67000"/>
                  </a:schemeClr>
                </a:gs>
                <a:gs pos="12000">
                  <a:schemeClr val="accent5">
                    <a:lumMod val="97000"/>
                    <a:lumOff val="3000"/>
                  </a:schemeClr>
                </a:gs>
                <a:gs pos="100000">
                  <a:schemeClr val="accent5">
                    <a:lumMod val="60000"/>
                    <a:lumOff val="40000"/>
                  </a:schemeClr>
                </a:gs>
              </a:gsLst>
              <a:lin ang="16200000" scaled="1"/>
            </a:gradFill>
            <a:ln w="12700">
              <a:noFill/>
              <a:prstDash val="solid"/>
            </a:ln>
            <a:effectLst>
              <a:outerShdw blurRad="165100" dist="165100" dir="1560000" sx="104000" sy="104000" algn="ctr" rotWithShape="0">
                <a:srgbClr val="000000">
                  <a:alpha val="43137"/>
                </a:srgbClr>
              </a:outerShdw>
            </a:effectLst>
            <a:scene3d>
              <a:camera prst="orthographicFront"/>
              <a:lightRig rig="threePt" dir="t"/>
            </a:scene3d>
            <a:sp3d>
              <a:bevelT/>
            </a:sp3d>
          </c:spPr>
          <c:invertIfNegative val="0"/>
          <c:dPt>
            <c:idx val="0"/>
            <c:invertIfNegative val="0"/>
            <c:bubble3D val="0"/>
            <c:spPr>
              <a:gradFill>
                <a:gsLst>
                  <a:gs pos="0">
                    <a:schemeClr val="accent5">
                      <a:lumMod val="67000"/>
                    </a:schemeClr>
                  </a:gs>
                  <a:gs pos="12000">
                    <a:schemeClr val="accent5">
                      <a:lumMod val="97000"/>
                      <a:lumOff val="3000"/>
                    </a:schemeClr>
                  </a:gs>
                  <a:gs pos="100000">
                    <a:schemeClr val="accent5">
                      <a:lumMod val="60000"/>
                      <a:lumOff val="40000"/>
                    </a:schemeClr>
                  </a:gs>
                </a:gsLst>
                <a:lin ang="16200000" scaled="1"/>
              </a:gradFill>
              <a:ln w="12700">
                <a:noFill/>
                <a:prstDash val="solid"/>
              </a:ln>
              <a:effectLst>
                <a:outerShdw blurRad="139700" dist="165100" dir="1560000" sx="104000" sy="104000" algn="ctr" rotWithShape="0">
                  <a:srgbClr val="000000">
                    <a:alpha val="43137"/>
                  </a:srgbClr>
                </a:outerShdw>
              </a:effectLst>
              <a:scene3d>
                <a:camera prst="orthographicFront"/>
                <a:lightRig rig="threePt" dir="t"/>
              </a:scene3d>
              <a:sp3d>
                <a:bevelT/>
              </a:sp3d>
            </c:spPr>
            <c:extLst xmlns:c16r2="http://schemas.microsoft.com/office/drawing/2015/06/chart">
              <c:ext xmlns:c16="http://schemas.microsoft.com/office/drawing/2014/chart" uri="{C3380CC4-5D6E-409C-BE32-E72D297353CC}">
                <c16:uniqueId val="{00000002-7862-4FBA-9391-8CDA1DE75713}"/>
              </c:ext>
            </c:extLst>
          </c:dPt>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val>
            <c:numRef>
              <c:f>'6'!$F$35</c:f>
              <c:numCache>
                <c:formatCode>General</c:formatCode>
                <c:ptCount val="1"/>
                <c:pt idx="0">
                  <c:v>11392</c:v>
                </c:pt>
              </c:numCache>
            </c:numRef>
          </c:val>
          <c:extLst xmlns:c16r2="http://schemas.microsoft.com/office/drawing/2015/06/chart">
            <c:ext xmlns:c16="http://schemas.microsoft.com/office/drawing/2014/chart" uri="{C3380CC4-5D6E-409C-BE32-E72D297353CC}">
              <c16:uniqueId val="{00000003-7862-4FBA-9391-8CDA1DE75713}"/>
            </c:ext>
          </c:extLst>
        </c:ser>
        <c:dLbls>
          <c:showLegendKey val="0"/>
          <c:showVal val="0"/>
          <c:showCatName val="0"/>
          <c:showSerName val="0"/>
          <c:showPercent val="0"/>
          <c:showBubbleSize val="0"/>
        </c:dLbls>
        <c:gapWidth val="400"/>
        <c:axId val="-1232402224"/>
        <c:axId val="-1232401680"/>
      </c:barChart>
      <c:catAx>
        <c:axId val="-1232402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Arial"/>
                <a:ea typeface="Arial"/>
                <a:cs typeface="Arial"/>
              </a:defRPr>
            </a:pPr>
            <a:endParaRPr lang="en-US"/>
          </a:p>
        </c:txPr>
        <c:crossAx val="-1232401680"/>
        <c:crosses val="autoZero"/>
        <c:auto val="1"/>
        <c:lblAlgn val="ctr"/>
        <c:lblOffset val="100"/>
        <c:tickLblSkip val="1"/>
        <c:tickMarkSkip val="1"/>
        <c:noMultiLvlLbl val="0"/>
      </c:catAx>
      <c:valAx>
        <c:axId val="-1232401680"/>
        <c:scaling>
          <c:orientation val="minMax"/>
        </c:scaling>
        <c:delete val="0"/>
        <c:axPos val="l"/>
        <c:title>
          <c:tx>
            <c:rich>
              <a:bodyPr/>
              <a:lstStyle/>
              <a:p>
                <a:pPr>
                  <a:defRPr sz="800" b="1" i="0" u="none" strike="noStrike" baseline="0">
                    <a:solidFill>
                      <a:srgbClr val="000000"/>
                    </a:solidFill>
                    <a:latin typeface="Arial"/>
                    <a:ea typeface="Arial"/>
                    <a:cs typeface="Arial"/>
                  </a:defRPr>
                </a:pPr>
                <a:r>
                  <a:rPr lang="en-US"/>
                  <a:t>MVA</a:t>
                </a:r>
              </a:p>
            </c:rich>
          </c:tx>
          <c:layout>
            <c:manualLayout>
              <c:xMode val="edge"/>
              <c:yMode val="edge"/>
              <c:x val="2.0270138466512145E-2"/>
              <c:y val="0.3897639718112159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32402224"/>
        <c:crosses val="autoZero"/>
        <c:crossBetween val="between"/>
        <c:majorUnit val="74520"/>
        <c:minorUnit val="71402"/>
      </c:valAx>
      <c:spPr>
        <a:solidFill>
          <a:srgbClr val="FFFFFF"/>
        </a:solidFill>
        <a:ln w="12700">
          <a:solidFill>
            <a:srgbClr val="FFFFFF"/>
          </a:solidFill>
          <a:prstDash val="solid"/>
        </a:ln>
      </c:spPr>
    </c:plotArea>
    <c:legend>
      <c:legendPos val="r"/>
      <c:layout>
        <c:manualLayout>
          <c:xMode val="edge"/>
          <c:yMode val="edge"/>
          <c:x val="6.6810886634995265E-2"/>
          <c:y val="0.85093594069972023"/>
          <c:w val="0.84135299371503403"/>
          <c:h val="9.4230144308884434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a:scene3d>
      <a:camera prst="orthographicFront"/>
      <a:lightRig rig="threePt" dir="t"/>
    </a:scene3d>
    <a:sp3d>
      <a:bevelT/>
    </a:sp3d>
  </c:spPr>
  <c:txPr>
    <a:bodyPr/>
    <a:lstStyle/>
    <a:p>
      <a:pPr>
        <a:defRPr sz="11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i="0" u="none" strike="noStrike" baseline="0">
                <a:solidFill>
                  <a:srgbClr val="000000"/>
                </a:solidFill>
                <a:latin typeface="Arial"/>
                <a:ea typeface="Arial"/>
                <a:cs typeface="Arial"/>
              </a:defRPr>
            </a:pPr>
            <a:r>
              <a:rPr lang="en-US"/>
              <a:t> Northern States (MW)
</a:t>
            </a:r>
          </a:p>
        </c:rich>
      </c:tx>
      <c:layout>
        <c:manualLayout>
          <c:xMode val="edge"/>
          <c:yMode val="edge"/>
          <c:x val="0.26569138711675638"/>
          <c:y val="9.0105181296782355E-2"/>
        </c:manualLayout>
      </c:layout>
      <c:overlay val="0"/>
      <c:spPr>
        <a:noFill/>
        <a:ln w="25400">
          <a:noFill/>
        </a:ln>
      </c:spPr>
    </c:title>
    <c:autoTitleDeleted val="0"/>
    <c:plotArea>
      <c:layout>
        <c:manualLayout>
          <c:layoutTarget val="inner"/>
          <c:xMode val="edge"/>
          <c:yMode val="edge"/>
          <c:x val="9.366119381062768E-2"/>
          <c:y val="0.13993666392435733"/>
          <c:w val="0.80142733807603139"/>
          <c:h val="0.55319263878124747"/>
        </c:manualLayout>
      </c:layout>
      <c:barChart>
        <c:barDir val="col"/>
        <c:grouping val="clustered"/>
        <c:varyColors val="0"/>
        <c:ser>
          <c:idx val="0"/>
          <c:order val="0"/>
          <c:tx>
            <c:strRef>
              <c:f>'8-9'!$B$5</c:f>
              <c:strCache>
                <c:ptCount val="1"/>
                <c:pt idx="0">
                  <c:v> Jun-2021</c:v>
                </c:pt>
              </c:strCache>
            </c:strRef>
          </c:tx>
          <c:spPr>
            <a:gradFill rotWithShape="0">
              <a:gsLst>
                <a:gs pos="0">
                  <a:srgbClr val="474776">
                    <a:gamma/>
                    <a:shade val="46275"/>
                    <a:invGamma/>
                  </a:srgbClr>
                </a:gs>
                <a:gs pos="100000">
                  <a:srgbClr val="9999FF"/>
                </a:gs>
              </a:gsLst>
              <a:lin ang="5400000" scaled="1"/>
            </a:gradFill>
            <a:ln w="12700">
              <a:noFill/>
              <a:prstDash val="solid"/>
            </a:ln>
            <a:scene3d>
              <a:camera prst="orthographicFront"/>
              <a:lightRig rig="threePt" dir="t"/>
            </a:scene3d>
            <a:sp3d>
              <a:bevelT/>
            </a:sp3d>
          </c:spPr>
          <c:invertIfNegative val="0"/>
          <c:dLbls>
            <c:spPr>
              <a:noFill/>
              <a:ln w="25400">
                <a:noFill/>
              </a:ln>
            </c:spPr>
            <c:txPr>
              <a:bodyPr rot="-5400000" vert="horz" wrap="square" lIns="38100" tIns="19050" rIns="38100" bIns="19050" anchor="ctr">
                <a:spAutoFit/>
              </a:bodyPr>
              <a:lstStyle/>
              <a:p>
                <a:pPr algn="ctr">
                  <a:defRPr sz="825"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'8-9'!$C$3:$K$3</c:f>
              <c:strCache>
                <c:ptCount val="9"/>
                <c:pt idx="0">
                  <c:v>Chandigarh</c:v>
                </c:pt>
                <c:pt idx="1">
                  <c:v>Delhi</c:v>
                </c:pt>
                <c:pt idx="2">
                  <c:v>Haryana</c:v>
                </c:pt>
                <c:pt idx="3">
                  <c:v>HP</c:v>
                </c:pt>
                <c:pt idx="4">
                  <c:v>UT of J&amp;K &amp; Ladakh</c:v>
                </c:pt>
                <c:pt idx="5">
                  <c:v>Punjab</c:v>
                </c:pt>
                <c:pt idx="6">
                  <c:v>Rajasthan</c:v>
                </c:pt>
                <c:pt idx="7">
                  <c:v>UP</c:v>
                </c:pt>
                <c:pt idx="8">
                  <c:v>Utrakhand</c:v>
                </c:pt>
              </c:strCache>
            </c:strRef>
          </c:cat>
          <c:val>
            <c:numRef>
              <c:f>'8-9'!$C$5:$K$5</c:f>
              <c:numCache>
                <c:formatCode>0.00</c:formatCode>
                <c:ptCount val="9"/>
                <c:pt idx="0">
                  <c:v>0</c:v>
                </c:pt>
                <c:pt idx="1">
                  <c:v>0</c:v>
                </c:pt>
                <c:pt idx="2">
                  <c:v>0.31999999999970896</c:v>
                </c:pt>
                <c:pt idx="3">
                  <c:v>0</c:v>
                </c:pt>
                <c:pt idx="4">
                  <c:v>250</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0-5DE3-4F62-9A75-5F6DEE196BDA}"/>
            </c:ext>
          </c:extLst>
        </c:ser>
        <c:ser>
          <c:idx val="1"/>
          <c:order val="1"/>
          <c:tx>
            <c:strRef>
              <c:f>'8-9'!$B$4</c:f>
              <c:strCache>
                <c:ptCount val="1"/>
                <c:pt idx="0">
                  <c:v> Jun-2020</c:v>
                </c:pt>
              </c:strCache>
            </c:strRef>
          </c:tx>
          <c:spPr>
            <a:solidFill>
              <a:srgbClr val="00FFFF"/>
            </a:solidFill>
            <a:ln w="12700">
              <a:noFill/>
              <a:prstDash val="solid"/>
            </a:ln>
            <a:scene3d>
              <a:camera prst="orthographicFront"/>
              <a:lightRig rig="threePt" dir="t"/>
            </a:scene3d>
            <a:sp3d>
              <a:bevelT/>
            </a:sp3d>
          </c:spPr>
          <c:invertIfNegative val="0"/>
          <c:dLbls>
            <c:dLbl>
              <c:idx val="3"/>
              <c:spPr>
                <a:noFill/>
                <a:ln w="25400">
                  <a:noFill/>
                </a:ln>
              </c:spPr>
              <c:txPr>
                <a:bodyPr rot="-5400000" vert="horz"/>
                <a:lstStyle/>
                <a:p>
                  <a:pPr algn="ctr">
                    <a:defRPr sz="825"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dLbl>
            <c:spPr>
              <a:noFill/>
              <a:ln w="25400">
                <a:noFill/>
              </a:ln>
            </c:spPr>
            <c:txPr>
              <a:bodyPr rot="-5400000" vert="horz" wrap="square" lIns="38100" tIns="19050" rIns="38100" bIns="19050" anchor="ctr">
                <a:spAutoFit/>
              </a:bodyPr>
              <a:lstStyle/>
              <a:p>
                <a:pPr algn="ctr">
                  <a:defRPr sz="825"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'8-9'!$C$3:$K$3</c:f>
              <c:strCache>
                <c:ptCount val="9"/>
                <c:pt idx="0">
                  <c:v>Chandigarh</c:v>
                </c:pt>
                <c:pt idx="1">
                  <c:v>Delhi</c:v>
                </c:pt>
                <c:pt idx="2">
                  <c:v>Haryana</c:v>
                </c:pt>
                <c:pt idx="3">
                  <c:v>HP</c:v>
                </c:pt>
                <c:pt idx="4">
                  <c:v>UT of J&amp;K &amp; Ladakh</c:v>
                </c:pt>
                <c:pt idx="5">
                  <c:v>Punjab</c:v>
                </c:pt>
                <c:pt idx="6">
                  <c:v>Rajasthan</c:v>
                </c:pt>
                <c:pt idx="7">
                  <c:v>UP</c:v>
                </c:pt>
                <c:pt idx="8">
                  <c:v>Utrakhand</c:v>
                </c:pt>
              </c:strCache>
            </c:strRef>
          </c:cat>
          <c:val>
            <c:numRef>
              <c:f>'8-9'!$C$4:$K$4</c:f>
              <c:numCache>
                <c:formatCode>0.00</c:formatCode>
                <c:ptCount val="9"/>
                <c:pt idx="0">
                  <c:v>0</c:v>
                </c:pt>
                <c:pt idx="1">
                  <c:v>0</c:v>
                </c:pt>
                <c:pt idx="2">
                  <c:v>0</c:v>
                </c:pt>
                <c:pt idx="3">
                  <c:v>0</c:v>
                </c:pt>
                <c:pt idx="4">
                  <c:v>567</c:v>
                </c:pt>
                <c:pt idx="5">
                  <c:v>0</c:v>
                </c:pt>
                <c:pt idx="6">
                  <c:v>0</c:v>
                </c:pt>
                <c:pt idx="7">
                  <c:v>0</c:v>
                </c:pt>
                <c:pt idx="8">
                  <c:v>0</c:v>
                </c:pt>
              </c:numCache>
            </c:numRef>
          </c:val>
          <c:extLst xmlns:c16r2="http://schemas.microsoft.com/office/drawing/2015/06/chart">
            <c:ext xmlns:c16="http://schemas.microsoft.com/office/drawing/2014/chart" uri="{C3380CC4-5D6E-409C-BE32-E72D297353CC}">
              <c16:uniqueId val="{00000002-5DE3-4F62-9A75-5F6DEE196BDA}"/>
            </c:ext>
          </c:extLst>
        </c:ser>
        <c:dLbls>
          <c:showLegendKey val="0"/>
          <c:showVal val="0"/>
          <c:showCatName val="0"/>
          <c:showSerName val="0"/>
          <c:showPercent val="0"/>
          <c:showBubbleSize val="0"/>
        </c:dLbls>
        <c:gapWidth val="150"/>
        <c:axId val="-1231861296"/>
        <c:axId val="-1231872176"/>
      </c:barChart>
      <c:catAx>
        <c:axId val="-1231861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231872176"/>
        <c:crosses val="autoZero"/>
        <c:auto val="1"/>
        <c:lblAlgn val="ctr"/>
        <c:lblOffset val="100"/>
        <c:tickLblSkip val="1"/>
        <c:tickMarkSkip val="1"/>
        <c:noMultiLvlLbl val="0"/>
      </c:catAx>
      <c:valAx>
        <c:axId val="-1231872176"/>
        <c:scaling>
          <c:orientation val="minMax"/>
        </c:scaling>
        <c:delete val="0"/>
        <c:axPos val="l"/>
        <c:title>
          <c:tx>
            <c:rich>
              <a:bodyPr/>
              <a:lstStyle/>
              <a:p>
                <a:pPr>
                  <a:defRPr sz="850" b="1" i="0" u="none" strike="noStrike" baseline="0">
                    <a:solidFill>
                      <a:srgbClr val="000000"/>
                    </a:solidFill>
                    <a:latin typeface="Arial"/>
                    <a:ea typeface="Arial"/>
                    <a:cs typeface="Arial"/>
                  </a:defRPr>
                </a:pPr>
                <a:r>
                  <a:rPr lang="en-US"/>
                  <a:t>MW</a:t>
                </a:r>
              </a:p>
            </c:rich>
          </c:tx>
          <c:layout>
            <c:manualLayout>
              <c:xMode val="edge"/>
              <c:yMode val="edge"/>
              <c:x val="1.3295783282564132E-2"/>
              <c:y val="0.38029201905317389"/>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231861296"/>
        <c:crosses val="autoZero"/>
        <c:crossBetween val="between"/>
        <c:majorUnit val="400"/>
      </c:valAx>
      <c:spPr>
        <a:noFill/>
        <a:ln w="25400">
          <a:noFill/>
        </a:ln>
      </c:spPr>
    </c:plotArea>
    <c:legend>
      <c:legendPos val="r"/>
      <c:layout>
        <c:manualLayout>
          <c:xMode val="edge"/>
          <c:yMode val="edge"/>
          <c:x val="0.84210957206991466"/>
          <c:y val="0.11098357149800718"/>
          <c:w val="0.12698788563838281"/>
          <c:h val="0.10084417225624574"/>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a:scene3d>
      <a:camera prst="orthographicFront"/>
      <a:lightRig rig="threePt" dir="t"/>
    </a:scene3d>
    <a:sp3d>
      <a:bevelT/>
    </a:sp3d>
  </c:spPr>
  <c:txPr>
    <a:bodyPr/>
    <a:lstStyle/>
    <a:p>
      <a:pPr>
        <a:defRPr sz="8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horizontalDpi="300"/>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i="0" u="none" strike="noStrike" baseline="0">
                <a:solidFill>
                  <a:srgbClr val="000000"/>
                </a:solidFill>
                <a:latin typeface="Arial"/>
                <a:ea typeface="Arial"/>
                <a:cs typeface="Arial"/>
              </a:defRPr>
            </a:pPr>
            <a:r>
              <a:rPr lang="en-US"/>
              <a:t> Western States (MW)
</a:t>
            </a:r>
          </a:p>
        </c:rich>
      </c:tx>
      <c:layout>
        <c:manualLayout>
          <c:xMode val="edge"/>
          <c:yMode val="edge"/>
          <c:x val="0.41462517574408259"/>
          <c:y val="9.7434991449006098E-3"/>
        </c:manualLayout>
      </c:layout>
      <c:overlay val="0"/>
      <c:spPr>
        <a:noFill/>
        <a:ln w="25400">
          <a:noFill/>
        </a:ln>
      </c:spPr>
    </c:title>
    <c:autoTitleDeleted val="0"/>
    <c:plotArea>
      <c:layout>
        <c:manualLayout>
          <c:layoutTarget val="inner"/>
          <c:xMode val="edge"/>
          <c:yMode val="edge"/>
          <c:x val="8.098429980578066E-2"/>
          <c:y val="5.350949579905967E-2"/>
          <c:w val="0.8116646415552855"/>
          <c:h val="0.4759036144578313"/>
        </c:manualLayout>
      </c:layout>
      <c:barChart>
        <c:barDir val="col"/>
        <c:grouping val="clustered"/>
        <c:varyColors val="0"/>
        <c:ser>
          <c:idx val="0"/>
          <c:order val="0"/>
          <c:tx>
            <c:strRef>
              <c:f>'8-9'!$B$21</c:f>
              <c:strCache>
                <c:ptCount val="1"/>
                <c:pt idx="0">
                  <c:v> Jun-2021</c:v>
                </c:pt>
              </c:strCache>
            </c:strRef>
          </c:tx>
          <c:spPr>
            <a:gradFill rotWithShape="0">
              <a:gsLst>
                <a:gs pos="0">
                  <a:srgbClr val="474776">
                    <a:gamma/>
                    <a:shade val="46275"/>
                    <a:invGamma/>
                  </a:srgbClr>
                </a:gs>
                <a:gs pos="100000">
                  <a:srgbClr val="9999FF"/>
                </a:gs>
              </a:gsLst>
              <a:lin ang="5400000" scaled="1"/>
            </a:gradFill>
            <a:ln w="12700">
              <a:solidFill>
                <a:srgbClr val="000000"/>
              </a:solidFill>
              <a:prstDash val="solid"/>
            </a:ln>
            <a:scene3d>
              <a:camera prst="orthographicFront"/>
              <a:lightRig rig="threePt" dir="t"/>
            </a:scene3d>
            <a:sp3d>
              <a:bevelT/>
            </a:sp3d>
          </c:spPr>
          <c:invertIfNegative val="0"/>
          <c:dLbls>
            <c:spPr>
              <a:noFill/>
              <a:ln w="25400">
                <a:noFill/>
              </a:ln>
            </c:spPr>
            <c:txPr>
              <a:bodyPr rot="-5400000" vert="horz" wrap="square" lIns="38100" tIns="19050" rIns="38100" bIns="19050" anchor="ctr">
                <a:spAutoFit/>
              </a:bodyPr>
              <a:lstStyle/>
              <a:p>
                <a:pPr algn="ctr">
                  <a:defRPr sz="85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'8-9'!$C$19:$I$19</c:f>
              <c:strCache>
                <c:ptCount val="7"/>
                <c:pt idx="0">
                  <c:v>Chattisgarh</c:v>
                </c:pt>
                <c:pt idx="1">
                  <c:v>Gujarat</c:v>
                </c:pt>
                <c:pt idx="2">
                  <c:v>MP</c:v>
                </c:pt>
                <c:pt idx="3">
                  <c:v>Maharashtra</c:v>
                </c:pt>
                <c:pt idx="4">
                  <c:v>Daman &amp; Diu</c:v>
                </c:pt>
                <c:pt idx="5">
                  <c:v>Dadar Nagar     </c:v>
                </c:pt>
                <c:pt idx="6">
                  <c:v>Goa</c:v>
                </c:pt>
              </c:strCache>
            </c:strRef>
          </c:cat>
          <c:val>
            <c:numRef>
              <c:f>'8-9'!$C$21:$I$21</c:f>
              <c:numCache>
                <c:formatCode>0.00</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1AF4-4ADC-A818-DF69F2BF2A50}"/>
            </c:ext>
          </c:extLst>
        </c:ser>
        <c:ser>
          <c:idx val="1"/>
          <c:order val="1"/>
          <c:tx>
            <c:strRef>
              <c:f>'8-9'!$B$20</c:f>
              <c:strCache>
                <c:ptCount val="1"/>
                <c:pt idx="0">
                  <c:v> Jun-2020</c:v>
                </c:pt>
              </c:strCache>
            </c:strRef>
          </c:tx>
          <c:spPr>
            <a:solidFill>
              <a:srgbClr val="00FFFF"/>
            </a:solidFill>
            <a:ln w="12700">
              <a:solidFill>
                <a:srgbClr val="000000"/>
              </a:solidFill>
              <a:prstDash val="solid"/>
            </a:ln>
          </c:spPr>
          <c:invertIfNegative val="0"/>
          <c:dLbls>
            <c:spPr>
              <a:noFill/>
              <a:ln w="25400">
                <a:noFill/>
              </a:ln>
            </c:spPr>
            <c:txPr>
              <a:bodyPr rot="-5400000" vert="horz" wrap="square" lIns="38100" tIns="19050" rIns="38100" bIns="19050" anchor="ctr">
                <a:spAutoFit/>
              </a:bodyPr>
              <a:lstStyle/>
              <a:p>
                <a:pPr algn="ctr">
                  <a:defRPr sz="85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'8-9'!$C$19:$I$19</c:f>
              <c:strCache>
                <c:ptCount val="7"/>
                <c:pt idx="0">
                  <c:v>Chattisgarh</c:v>
                </c:pt>
                <c:pt idx="1">
                  <c:v>Gujarat</c:v>
                </c:pt>
                <c:pt idx="2">
                  <c:v>MP</c:v>
                </c:pt>
                <c:pt idx="3">
                  <c:v>Maharashtra</c:v>
                </c:pt>
                <c:pt idx="4">
                  <c:v>Daman &amp; Diu</c:v>
                </c:pt>
                <c:pt idx="5">
                  <c:v>Dadar Nagar     </c:v>
                </c:pt>
                <c:pt idx="6">
                  <c:v>Goa</c:v>
                </c:pt>
              </c:strCache>
            </c:strRef>
          </c:cat>
          <c:val>
            <c:numRef>
              <c:f>'8-9'!$C$20:$I$20</c:f>
              <c:numCache>
                <c:formatCode>0.00</c:formatCode>
                <c:ptCount val="7"/>
                <c:pt idx="0">
                  <c:v>1.2865999999999076</c:v>
                </c:pt>
                <c:pt idx="1">
                  <c:v>0</c:v>
                </c:pt>
                <c:pt idx="2">
                  <c:v>0</c:v>
                </c:pt>
                <c:pt idx="3">
                  <c:v>6.7976999999991676</c:v>
                </c:pt>
                <c:pt idx="4">
                  <c:v>0.17850000000001387</c:v>
                </c:pt>
                <c:pt idx="5">
                  <c:v>0</c:v>
                </c:pt>
                <c:pt idx="6">
                  <c:v>1.0819637499999999</c:v>
                </c:pt>
              </c:numCache>
            </c:numRef>
          </c:val>
          <c:extLst xmlns:c16r2="http://schemas.microsoft.com/office/drawing/2015/06/chart">
            <c:ext xmlns:c16="http://schemas.microsoft.com/office/drawing/2014/chart" uri="{C3380CC4-5D6E-409C-BE32-E72D297353CC}">
              <c16:uniqueId val="{00000001-1AF4-4ADC-A818-DF69F2BF2A50}"/>
            </c:ext>
          </c:extLst>
        </c:ser>
        <c:dLbls>
          <c:showLegendKey val="0"/>
          <c:showVal val="0"/>
          <c:showCatName val="0"/>
          <c:showSerName val="0"/>
          <c:showPercent val="0"/>
          <c:showBubbleSize val="0"/>
        </c:dLbls>
        <c:gapWidth val="150"/>
        <c:axId val="-1231866736"/>
        <c:axId val="-1231862928"/>
      </c:barChart>
      <c:catAx>
        <c:axId val="-1231866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50" b="0" i="0" u="none" strike="noStrike" baseline="0">
                <a:solidFill>
                  <a:srgbClr val="000000"/>
                </a:solidFill>
                <a:latin typeface="Arial"/>
                <a:ea typeface="Arial"/>
                <a:cs typeface="Arial"/>
              </a:defRPr>
            </a:pPr>
            <a:endParaRPr lang="en-US"/>
          </a:p>
        </c:txPr>
        <c:crossAx val="-1231862928"/>
        <c:crosses val="autoZero"/>
        <c:auto val="1"/>
        <c:lblAlgn val="ctr"/>
        <c:lblOffset val="100"/>
        <c:noMultiLvlLbl val="0"/>
      </c:catAx>
      <c:valAx>
        <c:axId val="-1231862928"/>
        <c:scaling>
          <c:orientation val="minMax"/>
        </c:scaling>
        <c:delete val="0"/>
        <c:axPos val="l"/>
        <c:title>
          <c:tx>
            <c:rich>
              <a:bodyPr/>
              <a:lstStyle/>
              <a:p>
                <a:pPr>
                  <a:defRPr sz="900" b="1" i="0" u="none" strike="noStrike" baseline="0">
                    <a:solidFill>
                      <a:srgbClr val="000000"/>
                    </a:solidFill>
                    <a:latin typeface="Arial"/>
                    <a:ea typeface="Arial"/>
                    <a:cs typeface="Arial"/>
                  </a:defRPr>
                </a:pPr>
                <a:r>
                  <a:rPr lang="en-US"/>
                  <a:t>MW</a:t>
                </a:r>
              </a:p>
            </c:rich>
          </c:tx>
          <c:layout>
            <c:manualLayout>
              <c:xMode val="edge"/>
              <c:yMode val="edge"/>
              <c:x val="1.8107493549940522E-2"/>
              <c:y val="0.35556691539212049"/>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231866736"/>
        <c:crosses val="autoZero"/>
        <c:crossBetween val="between"/>
      </c:valAx>
      <c:spPr>
        <a:noFill/>
        <a:ln w="25400">
          <a:noFill/>
        </a:ln>
      </c:spPr>
    </c:plotArea>
    <c:legend>
      <c:legendPos val="r"/>
      <c:layout>
        <c:manualLayout>
          <c:xMode val="edge"/>
          <c:yMode val="edge"/>
          <c:x val="0.82505665528139471"/>
          <c:y val="6.8873589754160306E-3"/>
          <c:w val="0.13253387676479689"/>
          <c:h val="0.16142254469500214"/>
        </c:manualLayout>
      </c:layout>
      <c:overlay val="0"/>
      <c:spPr>
        <a:solidFill>
          <a:srgbClr val="FFFFFF"/>
        </a:solidFill>
        <a:ln w="3175">
          <a:solidFill>
            <a:srgbClr val="000000"/>
          </a:solidFill>
          <a:prstDash val="solid"/>
        </a:ln>
      </c:spPr>
      <c:txPr>
        <a:bodyPr/>
        <a:lstStyle/>
        <a:p>
          <a:pPr>
            <a:defRPr sz="63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a:scene3d>
      <a:camera prst="orthographicFront"/>
      <a:lightRig rig="threePt" dir="t"/>
    </a:scene3d>
    <a:sp3d>
      <a:bevelT/>
    </a:sp3d>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horizontalDpi="300"/>
  </c:printSettings>
  <c:userShapes r:id="rId2"/>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Calibri"/>
                <a:ea typeface="Calibri"/>
                <a:cs typeface="Calibri"/>
              </a:defRPr>
            </a:pPr>
            <a:r>
              <a:rPr lang="en-US"/>
              <a:t>Southern State (MW)</a:t>
            </a:r>
          </a:p>
        </c:rich>
      </c:tx>
      <c:layout>
        <c:manualLayout>
          <c:xMode val="edge"/>
          <c:yMode val="edge"/>
          <c:x val="0.40588208181294411"/>
          <c:y val="6.0071142422986598E-2"/>
        </c:manualLayout>
      </c:layout>
      <c:overlay val="0"/>
    </c:title>
    <c:autoTitleDeleted val="0"/>
    <c:plotArea>
      <c:layout>
        <c:manualLayout>
          <c:layoutTarget val="inner"/>
          <c:xMode val="edge"/>
          <c:yMode val="edge"/>
          <c:x val="4.9539918621283451E-2"/>
          <c:y val="0.24974358974358979"/>
          <c:w val="0.92224138649335496"/>
          <c:h val="0.40539644082951171"/>
        </c:manualLayout>
      </c:layout>
      <c:barChart>
        <c:barDir val="col"/>
        <c:grouping val="clustered"/>
        <c:varyColors val="0"/>
        <c:ser>
          <c:idx val="0"/>
          <c:order val="0"/>
          <c:tx>
            <c:strRef>
              <c:f>'8-9'!$B$40</c:f>
              <c:strCache>
                <c:ptCount val="1"/>
                <c:pt idx="0">
                  <c:v> Jun-2021</c:v>
                </c:pt>
              </c:strCache>
            </c:strRef>
          </c:tx>
          <c:spPr>
            <a:solidFill>
              <a:srgbClr val="5B9BD5"/>
            </a:solidFill>
            <a:ln w="25400">
              <a:noFill/>
            </a:ln>
          </c:spPr>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'8-9'!$C$38:$I$38</c:f>
              <c:strCache>
                <c:ptCount val="7"/>
                <c:pt idx="0">
                  <c:v>AP</c:v>
                </c:pt>
                <c:pt idx="1">
                  <c:v>Telangana</c:v>
                </c:pt>
                <c:pt idx="2">
                  <c:v>Karnataka</c:v>
                </c:pt>
                <c:pt idx="3">
                  <c:v>Kerala</c:v>
                </c:pt>
                <c:pt idx="4">
                  <c:v>Tamil Nadu</c:v>
                </c:pt>
                <c:pt idx="5">
                  <c:v>Puducherry</c:v>
                </c:pt>
                <c:pt idx="6">
                  <c:v>Lakshadweep</c:v>
                </c:pt>
              </c:strCache>
            </c:strRef>
          </c:cat>
          <c:val>
            <c:numRef>
              <c:f>'8-9'!$C$40:$I$40</c:f>
              <c:numCache>
                <c:formatCode>0.00</c:formatCode>
                <c:ptCount val="7"/>
                <c:pt idx="0">
                  <c:v>45.947773788151608</c:v>
                </c:pt>
                <c:pt idx="1">
                  <c:v>0</c:v>
                </c:pt>
                <c:pt idx="2">
                  <c:v>0</c:v>
                </c:pt>
                <c:pt idx="3">
                  <c:v>0</c:v>
                </c:pt>
                <c:pt idx="4">
                  <c:v>0</c:v>
                </c:pt>
                <c:pt idx="5">
                  <c:v>4.7039999999999509</c:v>
                </c:pt>
                <c:pt idx="6">
                  <c:v>0</c:v>
                </c:pt>
              </c:numCache>
            </c:numRef>
          </c:val>
          <c:extLst xmlns:c16r2="http://schemas.microsoft.com/office/drawing/2015/06/chart">
            <c:ext xmlns:c16="http://schemas.microsoft.com/office/drawing/2014/chart" uri="{C3380CC4-5D6E-409C-BE32-E72D297353CC}">
              <c16:uniqueId val="{00000000-BB1D-43E6-8EB3-920D04EA493D}"/>
            </c:ext>
          </c:extLst>
        </c:ser>
        <c:ser>
          <c:idx val="1"/>
          <c:order val="1"/>
          <c:tx>
            <c:strRef>
              <c:f>'8-9'!$B$39</c:f>
              <c:strCache>
                <c:ptCount val="1"/>
                <c:pt idx="0">
                  <c:v> Jun-2020</c:v>
                </c:pt>
              </c:strCache>
            </c:strRef>
          </c:tx>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'8-9'!$C$38:$I$38</c:f>
              <c:strCache>
                <c:ptCount val="7"/>
                <c:pt idx="0">
                  <c:v>AP</c:v>
                </c:pt>
                <c:pt idx="1">
                  <c:v>Telangana</c:v>
                </c:pt>
                <c:pt idx="2">
                  <c:v>Karnataka</c:v>
                </c:pt>
                <c:pt idx="3">
                  <c:v>Kerala</c:v>
                </c:pt>
                <c:pt idx="4">
                  <c:v>Tamil Nadu</c:v>
                </c:pt>
                <c:pt idx="5">
                  <c:v>Puducherry</c:v>
                </c:pt>
                <c:pt idx="6">
                  <c:v>Lakshadweep</c:v>
                </c:pt>
              </c:strCache>
            </c:strRef>
          </c:cat>
          <c:val>
            <c:numRef>
              <c:f>'8-9'!$C$39:$I$39</c:f>
              <c:numCache>
                <c:formatCode>0.00</c:formatCode>
                <c:ptCount val="7"/>
                <c:pt idx="0">
                  <c:v>19.442500000001019</c:v>
                </c:pt>
                <c:pt idx="1">
                  <c:v>19.653000000002066</c:v>
                </c:pt>
                <c:pt idx="2">
                  <c:v>19.10166666666737</c:v>
                </c:pt>
                <c:pt idx="3">
                  <c:v>16.081000000000586</c:v>
                </c:pt>
                <c:pt idx="4">
                  <c:v>0</c:v>
                </c:pt>
                <c:pt idx="5">
                  <c:v>0</c:v>
                </c:pt>
                <c:pt idx="6">
                  <c:v>0</c:v>
                </c:pt>
              </c:numCache>
            </c:numRef>
          </c:val>
          <c:extLst xmlns:c16r2="http://schemas.microsoft.com/office/drawing/2015/06/chart">
            <c:ext xmlns:c16="http://schemas.microsoft.com/office/drawing/2014/chart" uri="{C3380CC4-5D6E-409C-BE32-E72D297353CC}">
              <c16:uniqueId val="{00000001-BB1D-43E6-8EB3-920D04EA493D}"/>
            </c:ext>
          </c:extLst>
        </c:ser>
        <c:dLbls>
          <c:showLegendKey val="0"/>
          <c:showVal val="0"/>
          <c:showCatName val="0"/>
          <c:showSerName val="0"/>
          <c:showPercent val="0"/>
          <c:showBubbleSize val="0"/>
        </c:dLbls>
        <c:gapWidth val="219"/>
        <c:overlap val="-27"/>
        <c:axId val="-1231868912"/>
        <c:axId val="-1231859664"/>
      </c:barChart>
      <c:catAx>
        <c:axId val="-1231868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n-US"/>
          </a:p>
        </c:txPr>
        <c:crossAx val="-1231859664"/>
        <c:crosses val="autoZero"/>
        <c:auto val="1"/>
        <c:lblAlgn val="ctr"/>
        <c:lblOffset val="100"/>
        <c:noMultiLvlLbl val="0"/>
      </c:catAx>
      <c:valAx>
        <c:axId val="-123185966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1231868912"/>
        <c:crosses val="autoZero"/>
        <c:crossBetween val="between"/>
      </c:valAx>
      <c:spPr>
        <a:noFill/>
        <a:ln w="25400">
          <a:noFill/>
        </a:ln>
      </c:spPr>
    </c:plotArea>
    <c:legend>
      <c:legendPos val="b"/>
      <c:layout>
        <c:manualLayout>
          <c:xMode val="edge"/>
          <c:yMode val="edge"/>
          <c:x val="0.82622789834197552"/>
          <c:y val="5.9335490040489131E-2"/>
          <c:w val="0.13272172076051469"/>
          <c:h val="0.19111436651813871"/>
        </c:manualLayout>
      </c:layout>
      <c:overlay val="0"/>
      <c:spPr>
        <a:noFill/>
        <a:ln w="25400">
          <a:noFill/>
        </a:ln>
      </c:spPr>
      <c:txPr>
        <a:bodyPr/>
        <a:lstStyle/>
        <a:p>
          <a:pPr>
            <a:defRPr sz="75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chemeClr val="bg1"/>
    </a:solidFill>
    <a:ln w="6350" cap="flat" cmpd="sng" algn="ctr">
      <a:solidFill>
        <a:schemeClr val="tx2"/>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a:t> Eastern States (MW)
</a:t>
            </a:r>
          </a:p>
        </c:rich>
      </c:tx>
      <c:layout>
        <c:manualLayout>
          <c:xMode val="edge"/>
          <c:yMode val="edge"/>
          <c:x val="0.43098184682634227"/>
          <c:y val="0.13281575967097814"/>
        </c:manualLayout>
      </c:layout>
      <c:overlay val="0"/>
    </c:title>
    <c:autoTitleDeleted val="0"/>
    <c:plotArea>
      <c:layout>
        <c:manualLayout>
          <c:layoutTarget val="inner"/>
          <c:xMode val="edge"/>
          <c:yMode val="edge"/>
          <c:x val="9.5238205925366345E-2"/>
          <c:y val="0.25094590448921156"/>
          <c:w val="0.79047719035120612"/>
          <c:h val="0.36283264232024837"/>
        </c:manualLayout>
      </c:layout>
      <c:barChart>
        <c:barDir val="col"/>
        <c:grouping val="clustered"/>
        <c:varyColors val="0"/>
        <c:ser>
          <c:idx val="0"/>
          <c:order val="0"/>
          <c:tx>
            <c:strRef>
              <c:f>'8-9'!$B$60</c:f>
              <c:strCache>
                <c:ptCount val="1"/>
                <c:pt idx="0">
                  <c:v> Jun-2021</c:v>
                </c:pt>
              </c:strCache>
            </c:strRef>
          </c:tx>
          <c:spPr>
            <a:gradFill rotWithShape="0">
              <a:gsLst>
                <a:gs pos="0">
                  <a:srgbClr val="180000">
                    <a:gamma/>
                    <a:shade val="46275"/>
                    <a:invGamma/>
                  </a:srgbClr>
                </a:gs>
                <a:gs pos="38000">
                  <a:srgbClr val="5D57D5"/>
                </a:gs>
              </a:gsLst>
              <a:lin ang="5400000" scaled="1"/>
            </a:gradFill>
            <a:ln w="12700">
              <a:noFill/>
              <a:prstDash val="solid"/>
            </a:ln>
            <a:scene3d>
              <a:camera prst="orthographicFront"/>
              <a:lightRig rig="threePt" dir="t"/>
            </a:scene3d>
            <a:sp3d>
              <a:bevelT/>
            </a:sp3d>
          </c:spPr>
          <c:invertIfNegative val="0"/>
          <c:dLbls>
            <c:spPr>
              <a:noFill/>
              <a:ln w="25400">
                <a:noFill/>
              </a:ln>
            </c:spPr>
            <c:txPr>
              <a:bodyPr rot="-5400000" vert="horz" wrap="square" lIns="38100" tIns="19050" rIns="38100" bIns="19050" anchor="ctr">
                <a:spAutoFit/>
              </a:bodyPr>
              <a:lstStyle/>
              <a:p>
                <a:pPr algn="ctr">
                  <a:defRPr sz="8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Lit>
              <c:ptCount val="7"/>
              <c:pt idx="0">
                <c:v>Bihar</c:v>
              </c:pt>
              <c:pt idx="1">
                <c:v>DVC</c:v>
              </c:pt>
              <c:pt idx="2">
                <c:v>Jharkhand</c:v>
              </c:pt>
              <c:pt idx="3">
                <c:v>Odisha</c:v>
              </c:pt>
              <c:pt idx="4">
                <c:v>West Bengal</c:v>
              </c:pt>
              <c:pt idx="5">
                <c:v>Sikkim</c:v>
              </c:pt>
              <c:pt idx="6">
                <c:v>A&amp;N Island</c:v>
              </c:pt>
            </c:strLit>
          </c:cat>
          <c:val>
            <c:numRef>
              <c:f>'8-9'!$C$60:$I$60</c:f>
              <c:numCache>
                <c:formatCode>0.00</c:formatCode>
                <c:ptCount val="7"/>
                <c:pt idx="0">
                  <c:v>0</c:v>
                </c:pt>
                <c:pt idx="1">
                  <c:v>0</c:v>
                </c:pt>
                <c:pt idx="2">
                  <c:v>0</c:v>
                </c:pt>
                <c:pt idx="3">
                  <c:v>0</c:v>
                </c:pt>
                <c:pt idx="4">
                  <c:v>0</c:v>
                </c:pt>
                <c:pt idx="5">
                  <c:v>0</c:v>
                </c:pt>
                <c:pt idx="6">
                  <c:v>4</c:v>
                </c:pt>
              </c:numCache>
            </c:numRef>
          </c:val>
          <c:extLst xmlns:c16r2="http://schemas.microsoft.com/office/drawing/2015/06/chart">
            <c:ext xmlns:c16="http://schemas.microsoft.com/office/drawing/2014/chart" uri="{C3380CC4-5D6E-409C-BE32-E72D297353CC}">
              <c16:uniqueId val="{00000000-ED17-402F-A00C-5A5CF825DC74}"/>
            </c:ext>
          </c:extLst>
        </c:ser>
        <c:ser>
          <c:idx val="1"/>
          <c:order val="1"/>
          <c:tx>
            <c:strRef>
              <c:f>'8-9'!$B$59</c:f>
              <c:strCache>
                <c:ptCount val="1"/>
                <c:pt idx="0">
                  <c:v> Jun-2020</c:v>
                </c:pt>
              </c:strCache>
            </c:strRef>
          </c:tx>
          <c:spPr>
            <a:solidFill>
              <a:srgbClr val="00FFFF"/>
            </a:solidFill>
            <a:ln w="12700">
              <a:noFill/>
              <a:prstDash val="solid"/>
            </a:ln>
            <a:scene3d>
              <a:camera prst="orthographicFront"/>
              <a:lightRig rig="threePt" dir="t"/>
            </a:scene3d>
            <a:sp3d>
              <a:bevelT/>
            </a:sp3d>
          </c:spPr>
          <c:invertIfNegative val="0"/>
          <c:dLbls>
            <c:spPr>
              <a:noFill/>
              <a:ln w="25400">
                <a:noFill/>
              </a:ln>
            </c:spPr>
            <c:txPr>
              <a:bodyPr rot="-5400000" vert="horz" wrap="square" lIns="38100" tIns="19050" rIns="38100" bIns="19050" anchor="ctr">
                <a:spAutoFit/>
              </a:bodyPr>
              <a:lstStyle/>
              <a:p>
                <a:pPr algn="ctr">
                  <a:defRPr sz="8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Lit>
              <c:ptCount val="7"/>
              <c:pt idx="0">
                <c:v>Bihar</c:v>
              </c:pt>
              <c:pt idx="1">
                <c:v>DVC</c:v>
              </c:pt>
              <c:pt idx="2">
                <c:v>Jharkhand</c:v>
              </c:pt>
              <c:pt idx="3">
                <c:v>Odisha</c:v>
              </c:pt>
              <c:pt idx="4">
                <c:v>West Bengal</c:v>
              </c:pt>
              <c:pt idx="5">
                <c:v>Sikkim</c:v>
              </c:pt>
              <c:pt idx="6">
                <c:v>A&amp;N Island</c:v>
              </c:pt>
            </c:strLit>
          </c:cat>
          <c:val>
            <c:numRef>
              <c:f>'8-9'!$C$59:$I$59</c:f>
              <c:numCache>
                <c:formatCode>0.00</c:formatCode>
                <c:ptCount val="7"/>
                <c:pt idx="0">
                  <c:v>3.0019783530660789</c:v>
                </c:pt>
                <c:pt idx="1">
                  <c:v>0</c:v>
                </c:pt>
                <c:pt idx="2">
                  <c:v>1.9156894477796413</c:v>
                </c:pt>
                <c:pt idx="3">
                  <c:v>4.5073980894076158</c:v>
                </c:pt>
                <c:pt idx="4">
                  <c:v>15.975863420595488</c:v>
                </c:pt>
                <c:pt idx="5">
                  <c:v>5.1698430612489688E-2</c:v>
                </c:pt>
                <c:pt idx="6">
                  <c:v>4</c:v>
                </c:pt>
              </c:numCache>
            </c:numRef>
          </c:val>
          <c:extLst xmlns:c16r2="http://schemas.microsoft.com/office/drawing/2015/06/chart">
            <c:ext xmlns:c16="http://schemas.microsoft.com/office/drawing/2014/chart" uri="{C3380CC4-5D6E-409C-BE32-E72D297353CC}">
              <c16:uniqueId val="{00000001-ED17-402F-A00C-5A5CF825DC74}"/>
            </c:ext>
          </c:extLst>
        </c:ser>
        <c:dLbls>
          <c:showLegendKey val="0"/>
          <c:showVal val="0"/>
          <c:showCatName val="0"/>
          <c:showSerName val="0"/>
          <c:showPercent val="0"/>
          <c:showBubbleSize val="0"/>
        </c:dLbls>
        <c:gapWidth val="150"/>
        <c:axId val="-1231865648"/>
        <c:axId val="-1231865104"/>
      </c:barChart>
      <c:catAx>
        <c:axId val="-1231865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1231865104"/>
        <c:crosses val="autoZero"/>
        <c:auto val="1"/>
        <c:lblAlgn val="ctr"/>
        <c:lblOffset val="100"/>
        <c:tickLblSkip val="1"/>
        <c:tickMarkSkip val="1"/>
        <c:noMultiLvlLbl val="0"/>
      </c:catAx>
      <c:valAx>
        <c:axId val="-1231865104"/>
        <c:scaling>
          <c:orientation val="minMax"/>
        </c:scaling>
        <c:delete val="0"/>
        <c:axPos val="l"/>
        <c:title>
          <c:tx>
            <c:rich>
              <a:bodyPr/>
              <a:lstStyle/>
              <a:p>
                <a:pPr>
                  <a:defRPr sz="900" b="1" i="0" u="none" strike="noStrike" baseline="0">
                    <a:solidFill>
                      <a:srgbClr val="000000"/>
                    </a:solidFill>
                    <a:latin typeface="Arial"/>
                    <a:ea typeface="Arial"/>
                    <a:cs typeface="Arial"/>
                  </a:defRPr>
                </a:pPr>
                <a:r>
                  <a:rPr lang="en-US"/>
                  <a:t>MW</a:t>
                </a:r>
              </a:p>
            </c:rich>
          </c:tx>
          <c:layout>
            <c:manualLayout>
              <c:xMode val="edge"/>
              <c:yMode val="edge"/>
              <c:x val="2.6073678059615243E-2"/>
              <c:y val="0.4157318254681252"/>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231865648"/>
        <c:crosses val="autoZero"/>
        <c:crossBetween val="between"/>
      </c:valAx>
      <c:spPr>
        <a:noFill/>
        <a:ln w="25400">
          <a:noFill/>
        </a:ln>
      </c:spPr>
    </c:plotArea>
    <c:legend>
      <c:legendPos val="r"/>
      <c:layout>
        <c:manualLayout>
          <c:xMode val="edge"/>
          <c:yMode val="edge"/>
          <c:x val="0.82044351467136722"/>
          <c:y val="5.9361271116278251E-2"/>
          <c:w val="0.13653562677359055"/>
          <c:h val="0.12785780972009372"/>
        </c:manualLayout>
      </c:layout>
      <c:overlay val="0"/>
      <c:spPr>
        <a:solidFill>
          <a:srgbClr val="FFFFFF"/>
        </a:solidFill>
        <a:ln w="3175">
          <a:solidFill>
            <a:srgbClr val="000000"/>
          </a:solidFill>
          <a:prstDash val="solid"/>
        </a:ln>
      </c:spPr>
      <c:txPr>
        <a:bodyPr/>
        <a:lstStyle/>
        <a:p>
          <a:pPr>
            <a:defRPr sz="63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a:scene3d>
      <a:camera prst="orthographicFront"/>
      <a:lightRig rig="threePt" dir="t"/>
    </a:scene3d>
    <a:sp3d>
      <a:bevelT/>
    </a:sp3d>
  </c:spPr>
  <c:txPr>
    <a:bodyPr/>
    <a:lstStyle/>
    <a:p>
      <a:pPr>
        <a:defRPr sz="9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i="0" u="none" strike="noStrike" baseline="0">
                <a:solidFill>
                  <a:srgbClr val="000000"/>
                </a:solidFill>
                <a:latin typeface="Arial"/>
                <a:ea typeface="Arial"/>
                <a:cs typeface="Arial"/>
              </a:defRPr>
            </a:pPr>
            <a:r>
              <a:rPr lang="en-US"/>
              <a:t> North-Eastern States (MW)
</a:t>
            </a:r>
          </a:p>
        </c:rich>
      </c:tx>
      <c:layout>
        <c:manualLayout>
          <c:xMode val="edge"/>
          <c:yMode val="edge"/>
          <c:x val="0.40697172409552379"/>
          <c:y val="0.1742985352637372"/>
        </c:manualLayout>
      </c:layout>
      <c:overlay val="0"/>
      <c:spPr>
        <a:noFill/>
        <a:ln w="25400">
          <a:noFill/>
        </a:ln>
      </c:spPr>
    </c:title>
    <c:autoTitleDeleted val="0"/>
    <c:plotArea>
      <c:layout>
        <c:manualLayout>
          <c:layoutTarget val="inner"/>
          <c:xMode val="edge"/>
          <c:yMode val="edge"/>
          <c:x val="9.9324592769169648E-2"/>
          <c:y val="0.13845579118561102"/>
          <c:w val="0.8053237981724275"/>
          <c:h val="0.47336263948601515"/>
        </c:manualLayout>
      </c:layout>
      <c:barChart>
        <c:barDir val="col"/>
        <c:grouping val="clustered"/>
        <c:varyColors val="0"/>
        <c:ser>
          <c:idx val="0"/>
          <c:order val="0"/>
          <c:tx>
            <c:strRef>
              <c:f>'8-9'!$B$77</c:f>
              <c:strCache>
                <c:ptCount val="1"/>
                <c:pt idx="0">
                  <c:v> Jun-2021</c:v>
                </c:pt>
              </c:strCache>
            </c:strRef>
          </c:tx>
          <c:spPr>
            <a:gradFill rotWithShape="0">
              <a:gsLst>
                <a:gs pos="99000">
                  <a:srgbClr val="5D57D5"/>
                </a:gs>
                <a:gs pos="0">
                  <a:srgbClr val="180000"/>
                </a:gs>
              </a:gsLst>
              <a:lin ang="5400000" scaled="1"/>
            </a:gradFill>
            <a:ln w="12700">
              <a:noFill/>
              <a:prstDash val="solid"/>
            </a:ln>
            <a:scene3d>
              <a:camera prst="orthographicFront"/>
              <a:lightRig rig="threePt" dir="t"/>
            </a:scene3d>
            <a:sp3d>
              <a:bevelT/>
            </a:sp3d>
          </c:spPr>
          <c:invertIfNegative val="0"/>
          <c:dLbls>
            <c:spPr>
              <a:noFill/>
              <a:ln w="25400">
                <a:noFill/>
              </a:ln>
            </c:spPr>
            <c:txPr>
              <a:bodyPr rot="-5400000" vert="horz" wrap="square" lIns="38100" tIns="19050" rIns="38100" bIns="19050" anchor="ctr">
                <a:spAutoFit/>
              </a:bodyPr>
              <a:lstStyle/>
              <a:p>
                <a:pPr algn="ctr">
                  <a:defRPr sz="825"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Lit>
              <c:ptCount val="7"/>
              <c:pt idx="0">
                <c:v>Arunachal</c:v>
              </c:pt>
              <c:pt idx="1">
                <c:v>Assam</c:v>
              </c:pt>
              <c:pt idx="2">
                <c:v>Manipur</c:v>
              </c:pt>
              <c:pt idx="3">
                <c:v>Meghalaya</c:v>
              </c:pt>
              <c:pt idx="4">
                <c:v>Mizoram</c:v>
              </c:pt>
              <c:pt idx="5">
                <c:v>Nagaland</c:v>
              </c:pt>
              <c:pt idx="6">
                <c:v>Tripura</c:v>
              </c:pt>
            </c:strLit>
          </c:cat>
          <c:val>
            <c:numRef>
              <c:f>'8-9'!$C$77:$I$77</c:f>
              <c:numCache>
                <c:formatCode>0.00</c:formatCode>
                <c:ptCount val="7"/>
                <c:pt idx="0">
                  <c:v>0</c:v>
                </c:pt>
                <c:pt idx="1">
                  <c:v>74</c:v>
                </c:pt>
                <c:pt idx="2">
                  <c:v>2</c:v>
                </c:pt>
                <c:pt idx="3">
                  <c:v>0</c:v>
                </c:pt>
                <c:pt idx="4">
                  <c:v>0</c:v>
                </c:pt>
                <c:pt idx="5">
                  <c:v>8</c:v>
                </c:pt>
                <c:pt idx="6">
                  <c:v>0</c:v>
                </c:pt>
              </c:numCache>
            </c:numRef>
          </c:val>
          <c:extLst xmlns:c16r2="http://schemas.microsoft.com/office/drawing/2015/06/chart">
            <c:ext xmlns:c16="http://schemas.microsoft.com/office/drawing/2014/chart" uri="{C3380CC4-5D6E-409C-BE32-E72D297353CC}">
              <c16:uniqueId val="{00000000-2DE2-4614-BE2E-2F7D488E5C50}"/>
            </c:ext>
          </c:extLst>
        </c:ser>
        <c:ser>
          <c:idx val="1"/>
          <c:order val="1"/>
          <c:tx>
            <c:strRef>
              <c:f>'8-9'!$B$76</c:f>
              <c:strCache>
                <c:ptCount val="1"/>
                <c:pt idx="0">
                  <c:v> Jun-2020</c:v>
                </c:pt>
              </c:strCache>
            </c:strRef>
          </c:tx>
          <c:spPr>
            <a:solidFill>
              <a:srgbClr val="00FFFF"/>
            </a:solidFill>
            <a:ln w="12700">
              <a:noFill/>
              <a:prstDash val="solid"/>
            </a:ln>
            <a:scene3d>
              <a:camera prst="orthographicFront"/>
              <a:lightRig rig="threePt" dir="t"/>
            </a:scene3d>
            <a:sp3d>
              <a:bevelT/>
            </a:sp3d>
          </c:spPr>
          <c:invertIfNegative val="0"/>
          <c:dLbls>
            <c:dLbl>
              <c:idx val="1"/>
              <c:delete val="1"/>
              <c:extLst xmlns:c16r2="http://schemas.microsoft.com/office/drawing/2015/06/chart">
                <c:ext xmlns:c16="http://schemas.microsoft.com/office/drawing/2014/chart" uri="{C3380CC4-5D6E-409C-BE32-E72D297353CC}">
                  <c16:uniqueId val="{00000001-2DE2-4614-BE2E-2F7D488E5C50}"/>
                </c:ext>
                <c:ext xmlns:c15="http://schemas.microsoft.com/office/drawing/2012/chart" uri="{CE6537A1-D6FC-4f65-9D91-7224C49458BB}"/>
              </c:extLst>
            </c:dLbl>
            <c:spPr>
              <a:noFill/>
              <a:ln w="25400">
                <a:noFill/>
              </a:ln>
            </c:spPr>
            <c:txPr>
              <a:bodyPr rot="-5400000" vert="horz" wrap="square" lIns="38100" tIns="19050" rIns="38100" bIns="19050" anchor="ctr">
                <a:spAutoFit/>
              </a:bodyPr>
              <a:lstStyle/>
              <a:p>
                <a:pPr algn="ctr">
                  <a:defRPr sz="825"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Lit>
              <c:ptCount val="7"/>
              <c:pt idx="0">
                <c:v>Arunachal</c:v>
              </c:pt>
              <c:pt idx="1">
                <c:v>Assam</c:v>
              </c:pt>
              <c:pt idx="2">
                <c:v>Manipur</c:v>
              </c:pt>
              <c:pt idx="3">
                <c:v>Meghalaya</c:v>
              </c:pt>
              <c:pt idx="4">
                <c:v>Mizoram</c:v>
              </c:pt>
              <c:pt idx="5">
                <c:v>Nagaland</c:v>
              </c:pt>
              <c:pt idx="6">
                <c:v>Tripura</c:v>
              </c:pt>
            </c:strLit>
          </c:cat>
          <c:val>
            <c:numRef>
              <c:f>'8-9'!$C$76:$I$76</c:f>
              <c:numCache>
                <c:formatCode>0.00</c:formatCode>
                <c:ptCount val="7"/>
                <c:pt idx="0">
                  <c:v>26.454000000000008</c:v>
                </c:pt>
                <c:pt idx="1">
                  <c:v>0</c:v>
                </c:pt>
                <c:pt idx="2">
                  <c:v>19</c:v>
                </c:pt>
                <c:pt idx="3">
                  <c:v>0</c:v>
                </c:pt>
                <c:pt idx="4">
                  <c:v>0</c:v>
                </c:pt>
                <c:pt idx="5">
                  <c:v>7.8290000000000077</c:v>
                </c:pt>
                <c:pt idx="6">
                  <c:v>0</c:v>
                </c:pt>
              </c:numCache>
            </c:numRef>
          </c:val>
          <c:extLst xmlns:c16r2="http://schemas.microsoft.com/office/drawing/2015/06/chart">
            <c:ext xmlns:c16="http://schemas.microsoft.com/office/drawing/2014/chart" uri="{C3380CC4-5D6E-409C-BE32-E72D297353CC}">
              <c16:uniqueId val="{00000002-2DE2-4614-BE2E-2F7D488E5C50}"/>
            </c:ext>
          </c:extLst>
        </c:ser>
        <c:dLbls>
          <c:showLegendKey val="0"/>
          <c:showVal val="0"/>
          <c:showCatName val="0"/>
          <c:showSerName val="0"/>
          <c:showPercent val="0"/>
          <c:showBubbleSize val="0"/>
        </c:dLbls>
        <c:gapWidth val="150"/>
        <c:axId val="-1231861840"/>
        <c:axId val="-1231856944"/>
      </c:barChart>
      <c:catAx>
        <c:axId val="-1231861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1231856944"/>
        <c:crosses val="autoZero"/>
        <c:auto val="1"/>
        <c:lblAlgn val="ctr"/>
        <c:lblOffset val="100"/>
        <c:tickLblSkip val="1"/>
        <c:tickMarkSkip val="1"/>
        <c:noMultiLvlLbl val="0"/>
      </c:catAx>
      <c:valAx>
        <c:axId val="-1231856944"/>
        <c:scaling>
          <c:orientation val="minMax"/>
        </c:scaling>
        <c:delete val="0"/>
        <c:axPos val="l"/>
        <c:title>
          <c:tx>
            <c:rich>
              <a:bodyPr/>
              <a:lstStyle/>
              <a:p>
                <a:pPr>
                  <a:defRPr sz="900" b="1" i="0" u="none" strike="noStrike" baseline="0">
                    <a:solidFill>
                      <a:srgbClr val="000000"/>
                    </a:solidFill>
                    <a:latin typeface="Arial"/>
                    <a:ea typeface="Arial"/>
                    <a:cs typeface="Arial"/>
                  </a:defRPr>
                </a:pPr>
                <a:r>
                  <a:rPr lang="en-US"/>
                  <a:t>MW</a:t>
                </a:r>
              </a:p>
            </c:rich>
          </c:tx>
          <c:layout>
            <c:manualLayout>
              <c:xMode val="edge"/>
              <c:yMode val="edge"/>
              <c:x val="2.3054652077244969E-2"/>
              <c:y val="0.37234248085853172"/>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Arial"/>
                <a:ea typeface="Arial"/>
                <a:cs typeface="Arial"/>
              </a:defRPr>
            </a:pPr>
            <a:endParaRPr lang="en-US"/>
          </a:p>
        </c:txPr>
        <c:crossAx val="-1231861840"/>
        <c:crosses val="autoZero"/>
        <c:crossBetween val="between"/>
      </c:valAx>
      <c:spPr>
        <a:noFill/>
        <a:ln w="25400">
          <a:noFill/>
        </a:ln>
      </c:spPr>
    </c:plotArea>
    <c:plotVisOnly val="1"/>
    <c:dispBlanksAs val="gap"/>
    <c:showDLblsOverMax val="0"/>
  </c:chart>
  <c:spPr>
    <a:solidFill>
      <a:srgbClr val="FFFFFF"/>
    </a:solidFill>
    <a:ln w="3175">
      <a:solidFill>
        <a:srgbClr val="000000"/>
      </a:solidFill>
      <a:prstDash val="solid"/>
    </a:ln>
    <a:scene3d>
      <a:camera prst="orthographicFront"/>
      <a:lightRig rig="threePt" dir="t"/>
    </a:scene3d>
    <a:sp3d>
      <a:bevelT/>
    </a:sp3d>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horizontalDpi="300"/>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All India PLF Month-wise</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'10'!$L$24</c:f>
              <c:strCache>
                <c:ptCount val="1"/>
                <c:pt idx="0">
                  <c:v>PLF 2020</c:v>
                </c:pt>
              </c:strCache>
            </c:strRef>
          </c:tx>
          <c:spPr>
            <a:solidFill>
              <a:schemeClr val="accent1"/>
            </a:solidFill>
            <a:ln>
              <a:noFill/>
            </a:ln>
            <a:effectLst/>
          </c:spPr>
          <c:invertIfNegative val="0"/>
          <c:cat>
            <c:strRef>
              <c:f>'10'!$K$25:$K$46</c:f>
              <c:strCache>
                <c:ptCount val="12"/>
                <c:pt idx="0">
                  <c:v>Jan </c:v>
                </c:pt>
                <c:pt idx="1">
                  <c:v>Feb</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'10'!$L$25:$L$46</c:f>
              <c:numCache>
                <c:formatCode>0.00</c:formatCode>
                <c:ptCount val="12"/>
                <c:pt idx="0">
                  <c:v>57.65</c:v>
                </c:pt>
                <c:pt idx="1">
                  <c:v>60.27</c:v>
                </c:pt>
                <c:pt idx="2" formatCode="General">
                  <c:v>51.53</c:v>
                </c:pt>
                <c:pt idx="3">
                  <c:v>42.16968538450633</c:v>
                </c:pt>
                <c:pt idx="4">
                  <c:v>48</c:v>
                </c:pt>
                <c:pt idx="5">
                  <c:v>49.88</c:v>
                </c:pt>
              </c:numCache>
            </c:numRef>
          </c:val>
          <c:extLst xmlns:c16r2="http://schemas.microsoft.com/office/drawing/2015/06/chart">
            <c:ext xmlns:c16="http://schemas.microsoft.com/office/drawing/2014/chart" uri="{C3380CC4-5D6E-409C-BE32-E72D297353CC}">
              <c16:uniqueId val="{00000000-7836-44CE-9C3D-4C6BAEDB2B9E}"/>
            </c:ext>
          </c:extLst>
        </c:ser>
        <c:ser>
          <c:idx val="1"/>
          <c:order val="1"/>
          <c:tx>
            <c:strRef>
              <c:f>'10'!$M$24</c:f>
              <c:strCache>
                <c:ptCount val="1"/>
                <c:pt idx="0">
                  <c:v>PLF 2021*</c:v>
                </c:pt>
              </c:strCache>
            </c:strRef>
          </c:tx>
          <c:spPr>
            <a:solidFill>
              <a:schemeClr val="accent2"/>
            </a:solidFill>
            <a:ln>
              <a:noFill/>
            </a:ln>
            <a:effectLst/>
          </c:spPr>
          <c:invertIfNegative val="0"/>
          <c:cat>
            <c:strRef>
              <c:f>'10'!$K$25:$K$46</c:f>
              <c:strCache>
                <c:ptCount val="12"/>
                <c:pt idx="0">
                  <c:v>Jan </c:v>
                </c:pt>
                <c:pt idx="1">
                  <c:v>Feb</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'10'!$M$25:$M$46</c:f>
              <c:numCache>
                <c:formatCode>0.00</c:formatCode>
                <c:ptCount val="12"/>
                <c:pt idx="0">
                  <c:v>61.16</c:v>
                </c:pt>
                <c:pt idx="1">
                  <c:v>63.27</c:v>
                </c:pt>
                <c:pt idx="2" formatCode="General">
                  <c:v>66.52</c:v>
                </c:pt>
                <c:pt idx="3">
                  <c:v>66.694714542690534</c:v>
                </c:pt>
                <c:pt idx="4">
                  <c:v>54.32</c:v>
                </c:pt>
                <c:pt idx="5">
                  <c:v>55.05</c:v>
                </c:pt>
              </c:numCache>
            </c:numRef>
          </c:val>
          <c:extLst xmlns:c16r2="http://schemas.microsoft.com/office/drawing/2015/06/chart">
            <c:ext xmlns:c16="http://schemas.microsoft.com/office/drawing/2014/chart" uri="{C3380CC4-5D6E-409C-BE32-E72D297353CC}">
              <c16:uniqueId val="{00000001-7836-44CE-9C3D-4C6BAEDB2B9E}"/>
            </c:ext>
          </c:extLst>
        </c:ser>
        <c:dLbls>
          <c:showLegendKey val="0"/>
          <c:showVal val="0"/>
          <c:showCatName val="0"/>
          <c:showSerName val="0"/>
          <c:showPercent val="0"/>
          <c:showBubbleSize val="0"/>
        </c:dLbls>
        <c:gapWidth val="219"/>
        <c:overlap val="-27"/>
        <c:axId val="-1231868368"/>
        <c:axId val="-1231858032"/>
      </c:barChart>
      <c:catAx>
        <c:axId val="-1231868368"/>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Months</a:t>
                </a:r>
              </a:p>
            </c:rich>
          </c:tx>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231858032"/>
        <c:crosses val="autoZero"/>
        <c:auto val="1"/>
        <c:lblAlgn val="ctr"/>
        <c:lblOffset val="100"/>
        <c:noMultiLvlLbl val="0"/>
      </c:catAx>
      <c:valAx>
        <c:axId val="-12318580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23186836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All India Thermal  PLF</a:t>
            </a:r>
          </a:p>
        </c:rich>
      </c:tx>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'10'!$D$5</c:f>
              <c:strCache>
                <c:ptCount val="1"/>
                <c:pt idx="0">
                  <c:v> Jun-2020</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'10'!$C$6:$C$10</c:f>
              <c:strCache>
                <c:ptCount val="5"/>
                <c:pt idx="0">
                  <c:v>Central</c:v>
                </c:pt>
                <c:pt idx="1">
                  <c:v>State</c:v>
                </c:pt>
                <c:pt idx="2">
                  <c:v>Private Sector IPP</c:v>
                </c:pt>
                <c:pt idx="3">
                  <c:v>Private Sector UTL.</c:v>
                </c:pt>
                <c:pt idx="4">
                  <c:v>ALL INDIA</c:v>
                </c:pt>
              </c:strCache>
            </c:strRef>
          </c:cat>
          <c:val>
            <c:numRef>
              <c:f>'10'!$D$6:$D$10</c:f>
              <c:numCache>
                <c:formatCode>0.00</c:formatCode>
                <c:ptCount val="5"/>
                <c:pt idx="0">
                  <c:v>58.500273786984444</c:v>
                </c:pt>
                <c:pt idx="1">
                  <c:v>39.727570133190568</c:v>
                </c:pt>
                <c:pt idx="2">
                  <c:v>51.754341059873866</c:v>
                </c:pt>
                <c:pt idx="3">
                  <c:v>56.101571063207892</c:v>
                </c:pt>
                <c:pt idx="4">
                  <c:v>49.881817919087048</c:v>
                </c:pt>
              </c:numCache>
            </c:numRef>
          </c:val>
          <c:extLst xmlns:c16r2="http://schemas.microsoft.com/office/drawing/2015/06/chart">
            <c:ext xmlns:c16="http://schemas.microsoft.com/office/drawing/2014/chart" uri="{C3380CC4-5D6E-409C-BE32-E72D297353CC}">
              <c16:uniqueId val="{00000000-4ACC-461C-9C4C-DC43E4593CC8}"/>
            </c:ext>
          </c:extLst>
        </c:ser>
        <c:ser>
          <c:idx val="1"/>
          <c:order val="1"/>
          <c:tx>
            <c:strRef>
              <c:f>'10'!$E$5</c:f>
              <c:strCache>
                <c:ptCount val="1"/>
                <c:pt idx="0">
                  <c:v> Jun-2021</c:v>
                </c:pt>
              </c:strCache>
            </c:strRef>
          </c:tx>
          <c:spPr>
            <a:solidFill>
              <a:schemeClr val="accent2"/>
            </a:solidFill>
            <a:ln>
              <a:noFill/>
            </a:ln>
            <a:effectLst/>
          </c:spPr>
          <c:invertIfNegative val="0"/>
          <c:dLbls>
            <c:dLbl>
              <c:idx val="0"/>
              <c:layout>
                <c:manualLayout>
                  <c:x val="5.5555555555555558E-3"/>
                  <c:y val="-3.162055335968382E-2"/>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ACC-461C-9C4C-DC43E4593CC8}"/>
                </c:ext>
                <c:ext xmlns:c15="http://schemas.microsoft.com/office/drawing/2012/chart" uri="{CE6537A1-D6FC-4f65-9D91-7224C49458BB}">
                  <c15:layout/>
                </c:ext>
              </c:extLst>
            </c:dLbl>
            <c:dLbl>
              <c:idx val="2"/>
              <c:layout>
                <c:manualLayout>
                  <c:x val="-1.0185067526415994E-16"/>
                  <c:y val="-3.1620553359683841E-2"/>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ACC-461C-9C4C-DC43E4593CC8}"/>
                </c:ext>
                <c:ext xmlns:c15="http://schemas.microsoft.com/office/drawing/2012/chart" uri="{CE6537A1-D6FC-4f65-9D91-7224C49458BB}">
                  <c15:layout/>
                </c:ext>
              </c:extLst>
            </c:dLbl>
            <c:dLbl>
              <c:idx val="3"/>
              <c:layout>
                <c:manualLayout>
                  <c:x val="2.7777777777777779E-3"/>
                  <c:y val="-5.2700922266139656E-2"/>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ACC-461C-9C4C-DC43E4593CC8}"/>
                </c:ext>
                <c:ext xmlns:c15="http://schemas.microsoft.com/office/drawing/2012/chart" uri="{CE6537A1-D6FC-4f65-9D91-7224C49458BB}">
                  <c15:layout/>
                </c:ext>
              </c:extLst>
            </c:dLbl>
            <c:dLbl>
              <c:idx val="4"/>
              <c:layout>
                <c:manualLayout>
                  <c:x val="2.777777777777676E-3"/>
                  <c:y val="-3.6890645586297788E-2"/>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ACC-461C-9C4C-DC43E4593CC8}"/>
                </c:ex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'10'!$C$6:$C$10</c:f>
              <c:strCache>
                <c:ptCount val="5"/>
                <c:pt idx="0">
                  <c:v>Central</c:v>
                </c:pt>
                <c:pt idx="1">
                  <c:v>State</c:v>
                </c:pt>
                <c:pt idx="2">
                  <c:v>Private Sector IPP</c:v>
                </c:pt>
                <c:pt idx="3">
                  <c:v>Private Sector UTL.</c:v>
                </c:pt>
                <c:pt idx="4">
                  <c:v>ALL INDIA</c:v>
                </c:pt>
              </c:strCache>
            </c:strRef>
          </c:cat>
          <c:val>
            <c:numRef>
              <c:f>'10'!$E$6:$E$10</c:f>
              <c:numCache>
                <c:formatCode>0.00</c:formatCode>
                <c:ptCount val="5"/>
                <c:pt idx="0">
                  <c:v>66.429873613384245</c:v>
                </c:pt>
                <c:pt idx="1">
                  <c:v>44.603037915947993</c:v>
                </c:pt>
                <c:pt idx="2">
                  <c:v>54.68241400545439</c:v>
                </c:pt>
                <c:pt idx="3">
                  <c:v>61.402894491129778</c:v>
                </c:pt>
                <c:pt idx="4">
                  <c:v>55.051628755332452</c:v>
                </c:pt>
              </c:numCache>
            </c:numRef>
          </c:val>
          <c:extLst xmlns:c16r2="http://schemas.microsoft.com/office/drawing/2015/06/chart">
            <c:ext xmlns:c16="http://schemas.microsoft.com/office/drawing/2014/chart" uri="{C3380CC4-5D6E-409C-BE32-E72D297353CC}">
              <c16:uniqueId val="{00000001-4ACC-461C-9C4C-DC43E4593CC8}"/>
            </c:ext>
          </c:extLst>
        </c:ser>
        <c:dLbls>
          <c:dLblPos val="outEnd"/>
          <c:showLegendKey val="0"/>
          <c:showVal val="1"/>
          <c:showCatName val="0"/>
          <c:showSerName val="0"/>
          <c:showPercent val="0"/>
          <c:showBubbleSize val="0"/>
        </c:dLbls>
        <c:gapWidth val="219"/>
        <c:overlap val="-27"/>
        <c:axId val="-1231867824"/>
        <c:axId val="-1231871088"/>
      </c:barChart>
      <c:catAx>
        <c:axId val="-1231867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231871088"/>
        <c:crosses val="autoZero"/>
        <c:auto val="1"/>
        <c:lblAlgn val="ctr"/>
        <c:lblOffset val="100"/>
        <c:noMultiLvlLbl val="0"/>
      </c:catAx>
      <c:valAx>
        <c:axId val="-123187108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23186782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b="1" i="0" u="none" strike="noStrike" baseline="0">
                <a:solidFill>
                  <a:srgbClr val="333333"/>
                </a:solidFill>
                <a:latin typeface="Calibri"/>
                <a:ea typeface="Calibri"/>
                <a:cs typeface="Calibri"/>
              </a:defRPr>
            </a:pPr>
            <a:r>
              <a:rPr lang="en-US"/>
              <a:t>Targets and Achievement during  2021-22</a:t>
            </a:r>
          </a:p>
        </c:rich>
      </c:tx>
      <c:layout>
        <c:manualLayout>
          <c:xMode val="edge"/>
          <c:yMode val="edge"/>
          <c:x val="0.25140731767503421"/>
          <c:y val="1.6393580573420691E-2"/>
        </c:manualLayout>
      </c:layout>
      <c:overlay val="0"/>
      <c:spPr>
        <a:noFill/>
        <a:ln w="25400">
          <a:noFill/>
        </a:ln>
      </c:spPr>
    </c:title>
    <c:autoTitleDeleted val="0"/>
    <c:plotArea>
      <c:layout>
        <c:manualLayout>
          <c:layoutTarget val="inner"/>
          <c:xMode val="edge"/>
          <c:yMode val="edge"/>
          <c:x val="0.14355755530558684"/>
          <c:y val="0.18761904761904763"/>
          <c:w val="0.69421222347206601"/>
          <c:h val="0.69609890868904545"/>
        </c:manualLayout>
      </c:layout>
      <c:barChart>
        <c:barDir val="col"/>
        <c:grouping val="clustered"/>
        <c:varyColors val="0"/>
        <c:ser>
          <c:idx val="0"/>
          <c:order val="0"/>
          <c:tx>
            <c:strRef>
              <c:f>'13'!$D$55</c:f>
              <c:strCache>
                <c:ptCount val="1"/>
                <c:pt idx="0">
                  <c:v>Target</c:v>
                </c:pt>
              </c:strCache>
            </c:strRef>
          </c:tx>
          <c:spPr>
            <a:solidFill>
              <a:srgbClr val="FF0000"/>
            </a:solidFill>
            <a:ln>
              <a:noFill/>
            </a:ln>
            <a:effectLst/>
            <a:scene3d>
              <a:camera prst="orthographicFront"/>
              <a:lightRig rig="threePt" dir="t">
                <a:rot lat="0" lon="0" rev="600000"/>
              </a:lightRig>
            </a:scene3d>
            <a:sp3d prstMaterial="dkEdge">
              <a:bevelT/>
            </a:sp3d>
          </c:spPr>
          <c:invertIfNegative val="0"/>
          <c:dLbls>
            <c:dLbl>
              <c:idx val="0"/>
              <c:layout>
                <c:manualLayout>
                  <c:x val="-1.4260252223064779E-2"/>
                  <c:y val="0"/>
                </c:manualLayout>
              </c:layout>
              <c:numFmt formatCode="#,##0" sourceLinked="0"/>
              <c:spPr>
                <a:noFill/>
                <a:ln w="25400">
                  <a:noFill/>
                </a:ln>
              </c:spPr>
              <c:txPr>
                <a:bodyPr rot="-5400000" vert="horz"/>
                <a:lstStyle/>
                <a:p>
                  <a:pPr algn="ctr">
                    <a:defRPr sz="900" b="1" i="0" u="none" strike="noStrike" baseline="0">
                      <a:solidFill>
                        <a:srgbClr val="333333"/>
                      </a:solidFill>
                      <a:latin typeface="Calibri"/>
                      <a:ea typeface="Calibri"/>
                      <a:cs typeface="Calibri"/>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A8C-4C9C-AFC6-221C1C705800}"/>
                </c:ext>
                <c:ext xmlns:c15="http://schemas.microsoft.com/office/drawing/2012/chart" uri="{CE6537A1-D6FC-4f65-9D91-7224C49458BB}"/>
              </c:extLst>
            </c:dLbl>
            <c:dLbl>
              <c:idx val="1"/>
              <c:layout>
                <c:manualLayout>
                  <c:x val="-7.1301261115324331E-3"/>
                  <c:y val="-5.1183631555233719E-3"/>
                </c:manualLayout>
              </c:layout>
              <c:numFmt formatCode="#,##0" sourceLinked="0"/>
              <c:spPr>
                <a:noFill/>
                <a:ln w="25400">
                  <a:noFill/>
                </a:ln>
              </c:spPr>
              <c:txPr>
                <a:bodyPr rot="-5400000" vert="horz"/>
                <a:lstStyle/>
                <a:p>
                  <a:pPr algn="ctr">
                    <a:defRPr sz="900" b="1" i="0" u="none" strike="noStrike" baseline="0">
                      <a:solidFill>
                        <a:srgbClr val="333333"/>
                      </a:solidFill>
                      <a:latin typeface="Calibri"/>
                      <a:ea typeface="Calibri"/>
                      <a:cs typeface="Calibri"/>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A8C-4C9C-AFC6-221C1C705800}"/>
                </c:ext>
                <c:ext xmlns:c15="http://schemas.microsoft.com/office/drawing/2012/chart" uri="{CE6537A1-D6FC-4f65-9D91-7224C49458BB}"/>
              </c:extLst>
            </c:dLbl>
            <c:dLbl>
              <c:idx val="2"/>
              <c:layout>
                <c:manualLayout>
                  <c:x val="-4.7534174076882593E-3"/>
                  <c:y val="5.1183631555232782E-3"/>
                </c:manualLayout>
              </c:layout>
              <c:numFmt formatCode="#,##0" sourceLinked="0"/>
              <c:spPr>
                <a:noFill/>
                <a:ln w="25400">
                  <a:noFill/>
                </a:ln>
              </c:spPr>
              <c:txPr>
                <a:bodyPr rot="-5400000" vert="horz"/>
                <a:lstStyle/>
                <a:p>
                  <a:pPr algn="ctr">
                    <a:defRPr sz="900" b="1" i="0" u="none" strike="noStrike" baseline="0">
                      <a:solidFill>
                        <a:srgbClr val="333333"/>
                      </a:solidFill>
                      <a:latin typeface="Calibri"/>
                      <a:ea typeface="Calibri"/>
                      <a:cs typeface="Calibri"/>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0A8C-4C9C-AFC6-221C1C705800}"/>
                </c:ext>
                <c:ext xmlns:c15="http://schemas.microsoft.com/office/drawing/2012/chart" uri="{CE6537A1-D6FC-4f65-9D91-7224C49458BB}"/>
              </c:extLst>
            </c:dLbl>
            <c:dLbl>
              <c:idx val="3"/>
              <c:layout>
                <c:manualLayout>
                  <c:x val="-1.4260252223064866E-2"/>
                  <c:y val="0"/>
                </c:manualLayout>
              </c:layout>
              <c:numFmt formatCode="#,##0" sourceLinked="0"/>
              <c:spPr>
                <a:noFill/>
                <a:ln w="25400">
                  <a:noFill/>
                </a:ln>
              </c:spPr>
              <c:txPr>
                <a:bodyPr rot="-5400000" vert="horz"/>
                <a:lstStyle/>
                <a:p>
                  <a:pPr algn="ctr">
                    <a:defRPr sz="900" b="1" i="0" u="none" strike="noStrike" baseline="0">
                      <a:solidFill>
                        <a:srgbClr val="333333"/>
                      </a:solidFill>
                      <a:latin typeface="Calibri"/>
                      <a:ea typeface="Calibri"/>
                      <a:cs typeface="Calibri"/>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A8C-4C9C-AFC6-221C1C705800}"/>
                </c:ext>
                <c:ext xmlns:c15="http://schemas.microsoft.com/office/drawing/2012/chart" uri="{CE6537A1-D6FC-4f65-9D91-7224C49458BB}"/>
              </c:extLst>
            </c:dLbl>
            <c:numFmt formatCode="#,##0" sourceLinked="0"/>
            <c:spPr>
              <a:noFill/>
              <a:ln w="25400">
                <a:noFill/>
              </a:ln>
            </c:spPr>
            <c:txPr>
              <a:bodyPr rot="-5400000" vert="horz" wrap="square" lIns="38100" tIns="19050" rIns="38100" bIns="19050" anchor="ctr">
                <a:spAutoFit/>
              </a:bodyPr>
              <a:lstStyle/>
              <a:p>
                <a:pPr algn="ctr">
                  <a:defRPr sz="900" b="1"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'13'!$C$56:$C$59</c:f>
              <c:strCache>
                <c:ptCount val="4"/>
                <c:pt idx="0">
                  <c:v>Thermal</c:v>
                </c:pt>
                <c:pt idx="1">
                  <c:v>Hydro</c:v>
                </c:pt>
                <c:pt idx="2">
                  <c:v>Nuclear</c:v>
                </c:pt>
                <c:pt idx="3">
                  <c:v>Total</c:v>
                </c:pt>
              </c:strCache>
            </c:strRef>
          </c:cat>
          <c:val>
            <c:numRef>
              <c:f>'13'!$D$56:$D$59</c:f>
              <c:numCache>
                <c:formatCode>0</c:formatCode>
                <c:ptCount val="4"/>
                <c:pt idx="0">
                  <c:v>1185</c:v>
                </c:pt>
                <c:pt idx="1">
                  <c:v>112.97799999999999</c:v>
                </c:pt>
                <c:pt idx="2">
                  <c:v>0</c:v>
                </c:pt>
                <c:pt idx="3">
                  <c:v>1297.9780000000001</c:v>
                </c:pt>
              </c:numCache>
            </c:numRef>
          </c:val>
          <c:extLst xmlns:c16r2="http://schemas.microsoft.com/office/drawing/2015/06/chart">
            <c:ext xmlns:c16="http://schemas.microsoft.com/office/drawing/2014/chart" uri="{C3380CC4-5D6E-409C-BE32-E72D297353CC}">
              <c16:uniqueId val="{00000004-0A8C-4C9C-AFC6-221C1C705800}"/>
            </c:ext>
          </c:extLst>
        </c:ser>
        <c:ser>
          <c:idx val="1"/>
          <c:order val="1"/>
          <c:tx>
            <c:strRef>
              <c:f>'13'!$E$55</c:f>
              <c:strCache>
                <c:ptCount val="1"/>
                <c:pt idx="0">
                  <c:v>Achievement</c:v>
                </c:pt>
              </c:strCache>
            </c:strRef>
          </c:tx>
          <c:spPr>
            <a:solidFill>
              <a:srgbClr val="00B0F0"/>
            </a:solidFill>
            <a:ln>
              <a:noFill/>
            </a:ln>
            <a:effectLst>
              <a:softEdge rad="63500"/>
            </a:effectLst>
            <a:scene3d>
              <a:camera prst="orthographicFront"/>
              <a:lightRig rig="threePt" dir="t">
                <a:rot lat="0" lon="0" rev="1200000"/>
              </a:lightRig>
            </a:scene3d>
            <a:sp3d prstMaterial="dkEdge">
              <a:bevelT/>
            </a:sp3d>
          </c:spPr>
          <c:invertIfNegative val="0"/>
          <c:dLbls>
            <c:dLbl>
              <c:idx val="1"/>
              <c:layout>
                <c:manualLayout>
                  <c:x val="0"/>
                  <c:y val="0"/>
                </c:manualLayout>
              </c:layout>
              <c:numFmt formatCode="#,##0" sourceLinked="0"/>
              <c:spPr>
                <a:noFill/>
                <a:ln w="25400">
                  <a:noFill/>
                </a:ln>
              </c:spPr>
              <c:txPr>
                <a:bodyPr rot="-5400000" vert="horz"/>
                <a:lstStyle/>
                <a:p>
                  <a:pPr algn="ctr">
                    <a:defRPr sz="900" b="1" i="0" u="none" strike="noStrike" baseline="0">
                      <a:solidFill>
                        <a:srgbClr val="333333"/>
                      </a:solidFill>
                      <a:latin typeface="Calibri"/>
                      <a:ea typeface="Calibri"/>
                      <a:cs typeface="Calibri"/>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A8C-4C9C-AFC6-221C1C705800}"/>
                </c:ext>
                <c:ext xmlns:c15="http://schemas.microsoft.com/office/drawing/2012/chart" uri="{CE6537A1-D6FC-4f65-9D91-7224C49458BB}"/>
              </c:extLst>
            </c:dLbl>
            <c:dLbl>
              <c:idx val="2"/>
              <c:layout>
                <c:manualLayout>
                  <c:x val="7.1301261115323021E-3"/>
                  <c:y val="1.5355089466569834E-2"/>
                </c:manualLayout>
              </c:layout>
              <c:numFmt formatCode="#,##0" sourceLinked="0"/>
              <c:spPr>
                <a:noFill/>
                <a:ln w="25400">
                  <a:noFill/>
                </a:ln>
              </c:spPr>
              <c:txPr>
                <a:bodyPr rot="-5400000" vert="horz"/>
                <a:lstStyle/>
                <a:p>
                  <a:pPr algn="ctr">
                    <a:defRPr sz="900" b="1" i="0" u="none" strike="noStrike" baseline="0">
                      <a:solidFill>
                        <a:srgbClr val="333333"/>
                      </a:solidFill>
                      <a:latin typeface="Calibri"/>
                      <a:ea typeface="Calibri"/>
                      <a:cs typeface="Calibri"/>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0A8C-4C9C-AFC6-221C1C705800}"/>
                </c:ext>
                <c:ext xmlns:c15="http://schemas.microsoft.com/office/drawing/2012/chart" uri="{CE6537A1-D6FC-4f65-9D91-7224C49458BB}"/>
              </c:extLst>
            </c:dLbl>
            <c:dLbl>
              <c:idx val="3"/>
              <c:layout>
                <c:manualLayout>
                  <c:x val="9.5068348153764318E-3"/>
                  <c:y val="-2.3458893463675907E-17"/>
                </c:manualLayout>
              </c:layout>
              <c:numFmt formatCode="#,##0" sourceLinked="0"/>
              <c:spPr>
                <a:noFill/>
                <a:ln w="25400">
                  <a:noFill/>
                </a:ln>
              </c:spPr>
              <c:txPr>
                <a:bodyPr rot="-5400000" vert="horz"/>
                <a:lstStyle/>
                <a:p>
                  <a:pPr algn="ctr">
                    <a:defRPr sz="900" b="1" i="0" u="none" strike="noStrike" baseline="0">
                      <a:solidFill>
                        <a:srgbClr val="333333"/>
                      </a:solidFill>
                      <a:latin typeface="Calibri"/>
                      <a:ea typeface="Calibri"/>
                      <a:cs typeface="Calibri"/>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A8C-4C9C-AFC6-221C1C705800}"/>
                </c:ext>
                <c:ext xmlns:c15="http://schemas.microsoft.com/office/drawing/2012/chart" uri="{CE6537A1-D6FC-4f65-9D91-7224C49458BB}"/>
              </c:extLst>
            </c:dLbl>
            <c:numFmt formatCode="#,##0" sourceLinked="0"/>
            <c:spPr>
              <a:noFill/>
              <a:ln w="25400">
                <a:noFill/>
              </a:ln>
            </c:spPr>
            <c:txPr>
              <a:bodyPr rot="-5400000" vert="horz" wrap="square" lIns="38100" tIns="19050" rIns="38100" bIns="19050" anchor="ctr">
                <a:spAutoFit/>
              </a:bodyPr>
              <a:lstStyle/>
              <a:p>
                <a:pPr algn="ctr">
                  <a:defRPr sz="900" b="1"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'13'!$C$56:$C$59</c:f>
              <c:strCache>
                <c:ptCount val="4"/>
                <c:pt idx="0">
                  <c:v>Thermal</c:v>
                </c:pt>
                <c:pt idx="1">
                  <c:v>Hydro</c:v>
                </c:pt>
                <c:pt idx="2">
                  <c:v>Nuclear</c:v>
                </c:pt>
                <c:pt idx="3">
                  <c:v>Total</c:v>
                </c:pt>
              </c:strCache>
            </c:strRef>
          </c:cat>
          <c:val>
            <c:numRef>
              <c:f>'13'!$E$56:$E$59</c:f>
              <c:numCache>
                <c:formatCode>0</c:formatCode>
                <c:ptCount val="4"/>
                <c:pt idx="0">
                  <c:v>0</c:v>
                </c:pt>
                <c:pt idx="1">
                  <c:v>112.97799999999999</c:v>
                </c:pt>
                <c:pt idx="2">
                  <c:v>0</c:v>
                </c:pt>
                <c:pt idx="3">
                  <c:v>112.97799999999999</c:v>
                </c:pt>
              </c:numCache>
            </c:numRef>
          </c:val>
          <c:extLst xmlns:c16r2="http://schemas.microsoft.com/office/drawing/2015/06/chart">
            <c:ext xmlns:c16="http://schemas.microsoft.com/office/drawing/2014/chart" uri="{C3380CC4-5D6E-409C-BE32-E72D297353CC}">
              <c16:uniqueId val="{00000008-0A8C-4C9C-AFC6-221C1C705800}"/>
            </c:ext>
          </c:extLst>
        </c:ser>
        <c:dLbls>
          <c:showLegendKey val="0"/>
          <c:showVal val="0"/>
          <c:showCatName val="0"/>
          <c:showSerName val="0"/>
          <c:showPercent val="0"/>
          <c:showBubbleSize val="0"/>
        </c:dLbls>
        <c:gapWidth val="145"/>
        <c:axId val="-1231869456"/>
        <c:axId val="-1231976176"/>
      </c:barChart>
      <c:catAx>
        <c:axId val="-1231869456"/>
        <c:scaling>
          <c:orientation val="minMax"/>
        </c:scaling>
        <c:delete val="0"/>
        <c:axPos val="b"/>
        <c:numFmt formatCode="General" sourceLinked="1"/>
        <c:majorTickMark val="none"/>
        <c:minorTickMark val="none"/>
        <c:tickLblPos val="nextTo"/>
        <c:spPr>
          <a:noFill/>
          <a:ln w="9525" cap="flat" cmpd="sng" algn="ctr">
            <a:solidFill>
              <a:srgbClr val="0070C0"/>
            </a:solidFill>
            <a:round/>
          </a:ln>
          <a:effectLst/>
        </c:spPr>
        <c:txPr>
          <a:bodyPr rot="0" vert="horz"/>
          <a:lstStyle/>
          <a:p>
            <a:pPr>
              <a:defRPr sz="900" b="1" i="0" u="none" strike="noStrike" baseline="0">
                <a:solidFill>
                  <a:srgbClr val="333399"/>
                </a:solidFill>
                <a:latin typeface="Calibri"/>
                <a:ea typeface="Calibri"/>
                <a:cs typeface="Calibri"/>
              </a:defRPr>
            </a:pPr>
            <a:endParaRPr lang="en-US"/>
          </a:p>
        </c:txPr>
        <c:crossAx val="-1231976176"/>
        <c:crosses val="autoZero"/>
        <c:auto val="1"/>
        <c:lblAlgn val="ctr"/>
        <c:lblOffset val="100"/>
        <c:noMultiLvlLbl val="0"/>
      </c:catAx>
      <c:valAx>
        <c:axId val="-1231976176"/>
        <c:scaling>
          <c:orientation val="minMax"/>
        </c:scaling>
        <c:delete val="0"/>
        <c:axPos val="l"/>
        <c:title>
          <c:tx>
            <c:rich>
              <a:bodyPr/>
              <a:lstStyle/>
              <a:p>
                <a:pPr>
                  <a:defRPr sz="1000" b="1" i="0" u="none" strike="noStrike" baseline="0">
                    <a:solidFill>
                      <a:srgbClr val="333333"/>
                    </a:solidFill>
                    <a:latin typeface="Calibri"/>
                    <a:ea typeface="Calibri"/>
                    <a:cs typeface="Calibri"/>
                  </a:defRPr>
                </a:pPr>
                <a:r>
                  <a:rPr lang="en-US"/>
                  <a:t>MW</a:t>
                </a:r>
              </a:p>
            </c:rich>
          </c:tx>
          <c:layout>
            <c:manualLayout>
              <c:xMode val="edge"/>
              <c:yMode val="edge"/>
              <c:x val="1.6637099849698276E-2"/>
              <c:y val="0.46526336879645769"/>
            </c:manualLayout>
          </c:layout>
          <c:overlay val="0"/>
          <c:spPr>
            <a:noFill/>
            <a:ln w="25400">
              <a:noFill/>
            </a:ln>
          </c:spPr>
        </c:title>
        <c:numFmt formatCode="0" sourceLinked="1"/>
        <c:majorTickMark val="none"/>
        <c:minorTickMark val="none"/>
        <c:tickLblPos val="nextTo"/>
        <c:spPr>
          <a:noFill/>
          <a:ln>
            <a:solidFill>
              <a:srgbClr val="0070C0"/>
            </a:solidFill>
          </a:ln>
          <a:effectLst/>
        </c:spPr>
        <c:txPr>
          <a:bodyPr rot="0" vert="horz"/>
          <a:lstStyle/>
          <a:p>
            <a:pPr>
              <a:defRPr sz="900" b="1" i="0" u="none" strike="noStrike" baseline="0">
                <a:solidFill>
                  <a:srgbClr val="0066CC"/>
                </a:solidFill>
                <a:latin typeface="Calibri"/>
                <a:ea typeface="Calibri"/>
                <a:cs typeface="Calibri"/>
              </a:defRPr>
            </a:pPr>
            <a:endParaRPr lang="en-US"/>
          </a:p>
        </c:txPr>
        <c:crossAx val="-1231869456"/>
        <c:crosses val="autoZero"/>
        <c:crossBetween val="between"/>
      </c:valAx>
      <c:spPr>
        <a:noFill/>
        <a:ln w="25400">
          <a:noFill/>
        </a:ln>
      </c:spPr>
    </c:plotArea>
    <c:legend>
      <c:legendPos val="r"/>
      <c:legendEntry>
        <c:idx val="0"/>
        <c:txPr>
          <a:bodyPr/>
          <a:lstStyle/>
          <a:p>
            <a:pPr>
              <a:defRPr sz="755" b="0" i="0" u="none" strike="noStrike" baseline="0">
                <a:solidFill>
                  <a:srgbClr val="3366FF"/>
                </a:solidFill>
                <a:latin typeface="Calibri"/>
                <a:ea typeface="Calibri"/>
                <a:cs typeface="Calibri"/>
              </a:defRPr>
            </a:pPr>
            <a:endParaRPr lang="en-US"/>
          </a:p>
        </c:txPr>
      </c:legendEntry>
      <c:legendEntry>
        <c:idx val="1"/>
        <c:txPr>
          <a:bodyPr/>
          <a:lstStyle/>
          <a:p>
            <a:pPr>
              <a:defRPr sz="755" b="0" i="0" u="none" strike="noStrike" baseline="0">
                <a:solidFill>
                  <a:srgbClr val="0066CC"/>
                </a:solidFill>
                <a:latin typeface="Calibri"/>
                <a:ea typeface="Calibri"/>
                <a:cs typeface="Calibri"/>
              </a:defRPr>
            </a:pPr>
            <a:endParaRPr lang="en-US"/>
          </a:p>
        </c:txPr>
      </c:legendEntry>
      <c:layout>
        <c:manualLayout>
          <c:xMode val="edge"/>
          <c:yMode val="edge"/>
          <c:x val="0.83079579155169703"/>
          <c:y val="2.6718358678447639E-2"/>
          <c:w val="0.14872279426610135"/>
          <c:h val="0.1526769649976959"/>
        </c:manualLayout>
      </c:layout>
      <c:overlay val="0"/>
      <c:spPr>
        <a:noFill/>
        <a:ln>
          <a:noFill/>
        </a:ln>
        <a:effectLst>
          <a:glow rad="127000">
            <a:schemeClr val="accent1">
              <a:alpha val="94000"/>
            </a:schemeClr>
          </a:glow>
        </a:effectLst>
      </c:spPr>
      <c:txPr>
        <a:bodyPr/>
        <a:lstStyle/>
        <a:p>
          <a:pPr>
            <a:defRPr sz="75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a:outerShdw blurRad="215900" dist="139700" dir="9600000" sx="106000" sy="106000" algn="l" rotWithShape="0">
        <a:prstClr val="black">
          <a:alpha val="43000"/>
        </a:prstClr>
      </a:outerShdw>
      <a:softEdge rad="0"/>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'13'!$I$55</c:f>
              <c:strCache>
                <c:ptCount val="1"/>
                <c:pt idx="0">
                  <c:v>Target</c:v>
                </c:pt>
              </c:strCache>
            </c:strRef>
          </c:tx>
          <c:spPr>
            <a:solidFill>
              <a:schemeClr val="accent1"/>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'13'!$H$56:$H$59</c:f>
              <c:strCache>
                <c:ptCount val="4"/>
                <c:pt idx="0">
                  <c:v>Thermal</c:v>
                </c:pt>
                <c:pt idx="1">
                  <c:v>Hydro</c:v>
                </c:pt>
                <c:pt idx="2">
                  <c:v>Nuclear</c:v>
                </c:pt>
                <c:pt idx="3">
                  <c:v>Total</c:v>
                </c:pt>
              </c:strCache>
            </c:strRef>
          </c:cat>
          <c:val>
            <c:numRef>
              <c:f>'13'!$I$56:$I$59</c:f>
              <c:numCache>
                <c:formatCode>General</c:formatCode>
                <c:ptCount val="4"/>
                <c:pt idx="0">
                  <c:v>660</c:v>
                </c:pt>
                <c:pt idx="1">
                  <c:v>0</c:v>
                </c:pt>
                <c:pt idx="2">
                  <c:v>0</c:v>
                </c:pt>
                <c:pt idx="3">
                  <c:v>660</c:v>
                </c:pt>
              </c:numCache>
            </c:numRef>
          </c:val>
          <c:extLst xmlns:c16r2="http://schemas.microsoft.com/office/drawing/2015/06/chart">
            <c:ext xmlns:c16="http://schemas.microsoft.com/office/drawing/2014/chart" uri="{C3380CC4-5D6E-409C-BE32-E72D297353CC}">
              <c16:uniqueId val="{00000000-F041-4693-8D47-10CF5A36D73C}"/>
            </c:ext>
          </c:extLst>
        </c:ser>
        <c:ser>
          <c:idx val="1"/>
          <c:order val="1"/>
          <c:tx>
            <c:strRef>
              <c:f>'13'!$J$55</c:f>
              <c:strCache>
                <c:ptCount val="1"/>
                <c:pt idx="0">
                  <c:v>Achievement</c:v>
                </c:pt>
              </c:strCache>
            </c:strRef>
          </c:tx>
          <c:spPr>
            <a:solidFill>
              <a:schemeClr val="accent2"/>
            </a:solidFill>
            <a:ln>
              <a:noFill/>
            </a:ln>
            <a:effectLst/>
            <a:sp3d/>
          </c:spPr>
          <c:invertIfNegative val="0"/>
          <c:dLbls>
            <c:dLbl>
              <c:idx val="0"/>
              <c:layout>
                <c:manualLayout>
                  <c:x val="2.0725392359057359E-2"/>
                  <c:y val="-1.891252955082742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041-4693-8D47-10CF5A36D73C}"/>
                </c:ext>
                <c:ext xmlns:c15="http://schemas.microsoft.com/office/drawing/2012/chart" uri="{CE6537A1-D6FC-4f65-9D91-7224C49458BB}"/>
              </c:extLst>
            </c:dLbl>
            <c:dLbl>
              <c:idx val="3"/>
              <c:layout>
                <c:manualLayout>
                  <c:x val="1.8422570985828765E-2"/>
                  <c:y val="-2.836879432624113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041-4693-8D47-10CF5A36D73C}"/>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'13'!$H$56:$H$59</c:f>
              <c:strCache>
                <c:ptCount val="4"/>
                <c:pt idx="0">
                  <c:v>Thermal</c:v>
                </c:pt>
                <c:pt idx="1">
                  <c:v>Hydro</c:v>
                </c:pt>
                <c:pt idx="2">
                  <c:v>Nuclear</c:v>
                </c:pt>
                <c:pt idx="3">
                  <c:v>Total</c:v>
                </c:pt>
              </c:strCache>
            </c:strRef>
          </c:cat>
          <c:val>
            <c:numRef>
              <c:f>'13'!$J$56:$J$59</c:f>
              <c:numCache>
                <c:formatCode>General</c:formatCode>
                <c:ptCount val="4"/>
                <c:pt idx="0">
                  <c:v>0</c:v>
                </c:pt>
                <c:pt idx="1">
                  <c:v>112.97799999999999</c:v>
                </c:pt>
                <c:pt idx="2">
                  <c:v>0</c:v>
                </c:pt>
                <c:pt idx="3">
                  <c:v>112.97799999999999</c:v>
                </c:pt>
              </c:numCache>
            </c:numRef>
          </c:val>
          <c:extLst xmlns:c16r2="http://schemas.microsoft.com/office/drawing/2015/06/chart">
            <c:ext xmlns:c16="http://schemas.microsoft.com/office/drawing/2014/chart" uri="{C3380CC4-5D6E-409C-BE32-E72D297353CC}">
              <c16:uniqueId val="{00000001-F041-4693-8D47-10CF5A36D73C}"/>
            </c:ext>
          </c:extLst>
        </c:ser>
        <c:dLbls>
          <c:showLegendKey val="0"/>
          <c:showVal val="1"/>
          <c:showCatName val="0"/>
          <c:showSerName val="0"/>
          <c:showPercent val="0"/>
          <c:showBubbleSize val="0"/>
        </c:dLbls>
        <c:gapWidth val="150"/>
        <c:shape val="box"/>
        <c:axId val="-1231976720"/>
        <c:axId val="-1231975088"/>
        <c:axId val="0"/>
      </c:bar3DChart>
      <c:catAx>
        <c:axId val="-123197672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1975088"/>
        <c:crosses val="autoZero"/>
        <c:auto val="1"/>
        <c:lblAlgn val="ctr"/>
        <c:lblOffset val="100"/>
        <c:noMultiLvlLbl val="0"/>
      </c:catAx>
      <c:valAx>
        <c:axId val="-1231975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19767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875073909815909E-2"/>
          <c:y val="0.125"/>
          <c:w val="0.80156311154412196"/>
          <c:h val="0.75765306122448983"/>
        </c:manualLayout>
      </c:layout>
      <c:barChart>
        <c:barDir val="col"/>
        <c:grouping val="clustered"/>
        <c:varyColors val="0"/>
        <c:ser>
          <c:idx val="0"/>
          <c:order val="0"/>
          <c:tx>
            <c:strRef>
              <c:f>'22'!$H$60</c:f>
              <c:strCache>
                <c:ptCount val="1"/>
                <c:pt idx="0">
                  <c:v>Programme</c:v>
                </c:pt>
              </c:strCache>
            </c:strRef>
          </c:tx>
          <c:spPr>
            <a:solidFill>
              <a:srgbClr val="FF0000"/>
            </a:solidFill>
            <a:ln w="12700">
              <a:noFill/>
              <a:prstDash val="solid"/>
            </a:ln>
            <a:scene3d>
              <a:camera prst="orthographicFront"/>
              <a:lightRig rig="threePt" dir="t"/>
            </a:scene3d>
            <a:sp3d prstMaterial="metal">
              <a:bevelT/>
            </a:sp3d>
          </c:spPr>
          <c:invertIfNegative val="0"/>
          <c:dLbls>
            <c:dLbl>
              <c:idx val="1"/>
              <c:layout>
                <c:manualLayout>
                  <c:x val="-2.2471640197517684E-2"/>
                  <c:y val="-2.3702394343564359E-3"/>
                </c:manualLayout>
              </c:layout>
              <c:spPr>
                <a:noFill/>
                <a:ln w="25400">
                  <a:noFill/>
                </a:ln>
              </c:spPr>
              <c:txPr>
                <a:bodyPr/>
                <a:lstStyle/>
                <a:p>
                  <a:pPr>
                    <a:defRPr sz="8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E91-4F8E-B88A-9B9234C08C08}"/>
                </c:ext>
                <c:ext xmlns:c15="http://schemas.microsoft.com/office/drawing/2012/chart" uri="{CE6537A1-D6FC-4f65-9D91-7224C49458BB}"/>
              </c:extLst>
            </c:dLbl>
            <c:dLbl>
              <c:idx val="2"/>
              <c:layout>
                <c:manualLayout>
                  <c:x val="-1.4871424299810625E-2"/>
                  <c:y val="-4.7659221168783721E-3"/>
                </c:manualLayout>
              </c:layout>
              <c:spPr>
                <a:noFill/>
                <a:ln w="25400">
                  <a:noFill/>
                </a:ln>
              </c:spPr>
              <c:txPr>
                <a:bodyPr/>
                <a:lstStyle/>
                <a:p>
                  <a:pPr>
                    <a:defRPr sz="8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E91-4F8E-B88A-9B9234C08C08}"/>
                </c:ext>
                <c:ext xmlns:c15="http://schemas.microsoft.com/office/drawing/2012/chart" uri="{CE6537A1-D6FC-4f65-9D91-7224C49458BB}"/>
              </c:extLst>
            </c:dLbl>
            <c:dLbl>
              <c:idx val="3"/>
              <c:layout>
                <c:manualLayout>
                  <c:x val="-1.1511179773414398E-2"/>
                  <c:y val="2.3884514435695693E-3"/>
                </c:manualLayout>
              </c:layout>
              <c:spPr>
                <a:noFill/>
                <a:ln w="25400">
                  <a:noFill/>
                </a:ln>
              </c:spPr>
              <c:txPr>
                <a:bodyPr/>
                <a:lstStyle/>
                <a:p>
                  <a:pPr>
                    <a:defRPr sz="8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E91-4F8E-B88A-9B9234C08C08}"/>
                </c:ex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'22'!$G$61:$G$64</c:f>
              <c:strCache>
                <c:ptCount val="4"/>
                <c:pt idx="0">
                  <c:v>Thermal</c:v>
                </c:pt>
                <c:pt idx="1">
                  <c:v>Hydro</c:v>
                </c:pt>
                <c:pt idx="2">
                  <c:v>Nuclear</c:v>
                </c:pt>
                <c:pt idx="3">
                  <c:v>Total</c:v>
                </c:pt>
              </c:strCache>
            </c:strRef>
          </c:cat>
          <c:val>
            <c:numRef>
              <c:f>'22'!$H$61:$H$64</c:f>
              <c:numCache>
                <c:formatCode>0</c:formatCode>
                <c:ptCount val="4"/>
                <c:pt idx="0">
                  <c:v>285119</c:v>
                </c:pt>
                <c:pt idx="1">
                  <c:v>39009</c:v>
                </c:pt>
                <c:pt idx="2">
                  <c:v>11186</c:v>
                </c:pt>
                <c:pt idx="3">
                  <c:v>338084</c:v>
                </c:pt>
              </c:numCache>
            </c:numRef>
          </c:val>
          <c:extLst xmlns:c16r2="http://schemas.microsoft.com/office/drawing/2015/06/chart">
            <c:ext xmlns:c16="http://schemas.microsoft.com/office/drawing/2014/chart" uri="{C3380CC4-5D6E-409C-BE32-E72D297353CC}">
              <c16:uniqueId val="{00000003-8E91-4F8E-B88A-9B9234C08C08}"/>
            </c:ext>
          </c:extLst>
        </c:ser>
        <c:ser>
          <c:idx val="1"/>
          <c:order val="1"/>
          <c:tx>
            <c:strRef>
              <c:f>'22'!$I$60</c:f>
              <c:strCache>
                <c:ptCount val="1"/>
                <c:pt idx="0">
                  <c:v>Achievement</c:v>
                </c:pt>
              </c:strCache>
            </c:strRef>
          </c:tx>
          <c:spPr>
            <a:solidFill>
              <a:srgbClr val="CC99FF"/>
            </a:solidFill>
            <a:ln w="12700">
              <a:noFill/>
              <a:prstDash val="solid"/>
            </a:ln>
            <a:scene3d>
              <a:camera prst="orthographicFront"/>
              <a:lightRig rig="threePt" dir="t"/>
            </a:scene3d>
            <a:sp3d>
              <a:bevelT/>
            </a:sp3d>
          </c:spPr>
          <c:invertIfNegative val="0"/>
          <c:dLbls>
            <c:dLbl>
              <c:idx val="0"/>
              <c:layout>
                <c:manualLayout>
                  <c:x val="1.1432771852885439E-2"/>
                  <c:y val="2.0630456907172008E-3"/>
                </c:manualLayout>
              </c:layout>
              <c:spPr>
                <a:noFill/>
                <a:ln w="25400">
                  <a:noFill/>
                </a:ln>
              </c:spPr>
              <c:txPr>
                <a:bodyPr/>
                <a:lstStyle/>
                <a:p>
                  <a:pPr>
                    <a:defRPr sz="8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E91-4F8E-B88A-9B9234C08C08}"/>
                </c:ext>
                <c:ext xmlns:c15="http://schemas.microsoft.com/office/drawing/2012/chart" uri="{CE6537A1-D6FC-4f65-9D91-7224C49458BB}"/>
              </c:extLst>
            </c:dLbl>
            <c:dLbl>
              <c:idx val="1"/>
              <c:layout>
                <c:manualLayout>
                  <c:x val="1.3106747732482807E-3"/>
                  <c:y val="-4.0982377202849647E-3"/>
                </c:manualLayout>
              </c:layout>
              <c:spPr>
                <a:noFill/>
                <a:ln w="25400">
                  <a:noFill/>
                </a:ln>
              </c:spPr>
              <c:txPr>
                <a:bodyPr/>
                <a:lstStyle/>
                <a:p>
                  <a:pPr>
                    <a:defRPr sz="8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E91-4F8E-B88A-9B9234C08C08}"/>
                </c:ext>
                <c:ext xmlns:c15="http://schemas.microsoft.com/office/drawing/2012/chart" uri="{CE6537A1-D6FC-4f65-9D91-7224C49458BB}"/>
              </c:extLst>
            </c:dLbl>
            <c:dLbl>
              <c:idx val="2"/>
              <c:layout>
                <c:manualLayout>
                  <c:x val="2.5819794677564038E-3"/>
                  <c:y val="-4.1828699983931829E-3"/>
                </c:manualLayout>
              </c:layout>
              <c:spPr>
                <a:noFill/>
                <a:ln w="25400">
                  <a:noFill/>
                </a:ln>
              </c:spPr>
              <c:txPr>
                <a:bodyPr/>
                <a:lstStyle/>
                <a:p>
                  <a:pPr>
                    <a:defRPr sz="8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E91-4F8E-B88A-9B9234C08C08}"/>
                </c:ext>
                <c:ext xmlns:c15="http://schemas.microsoft.com/office/drawing/2012/chart" uri="{CE6537A1-D6FC-4f65-9D91-7224C49458BB}"/>
              </c:extLst>
            </c:dLbl>
            <c:dLbl>
              <c:idx val="3"/>
              <c:layout>
                <c:manualLayout>
                  <c:x val="1.0125751686102528E-2"/>
                  <c:y val="-1.0095880872033853E-2"/>
                </c:manualLayout>
              </c:layout>
              <c:spPr>
                <a:noFill/>
                <a:ln w="25400">
                  <a:noFill/>
                </a:ln>
              </c:spPr>
              <c:txPr>
                <a:bodyPr/>
                <a:lstStyle/>
                <a:p>
                  <a:pPr>
                    <a:defRPr sz="800" b="0"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E91-4F8E-B88A-9B9234C08C08}"/>
                </c:ex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'22'!$G$61:$G$64</c:f>
              <c:strCache>
                <c:ptCount val="4"/>
                <c:pt idx="0">
                  <c:v>Thermal</c:v>
                </c:pt>
                <c:pt idx="1">
                  <c:v>Hydro</c:v>
                </c:pt>
                <c:pt idx="2">
                  <c:v>Nuclear</c:v>
                </c:pt>
                <c:pt idx="3">
                  <c:v>Total</c:v>
                </c:pt>
              </c:strCache>
            </c:strRef>
          </c:cat>
          <c:val>
            <c:numRef>
              <c:f>'22'!$I$61:$I$64</c:f>
              <c:numCache>
                <c:formatCode>0</c:formatCode>
                <c:ptCount val="4"/>
                <c:pt idx="0">
                  <c:v>276682.11</c:v>
                </c:pt>
                <c:pt idx="1">
                  <c:v>36017.83</c:v>
                </c:pt>
                <c:pt idx="2">
                  <c:v>11157.37</c:v>
                </c:pt>
                <c:pt idx="3">
                  <c:v>325723.34999999998</c:v>
                </c:pt>
              </c:numCache>
            </c:numRef>
          </c:val>
          <c:extLst xmlns:c16r2="http://schemas.microsoft.com/office/drawing/2015/06/chart">
            <c:ext xmlns:c16="http://schemas.microsoft.com/office/drawing/2014/chart" uri="{C3380CC4-5D6E-409C-BE32-E72D297353CC}">
              <c16:uniqueId val="{00000008-8E91-4F8E-B88A-9B9234C08C08}"/>
            </c:ext>
          </c:extLst>
        </c:ser>
        <c:dLbls>
          <c:showLegendKey val="0"/>
          <c:showVal val="0"/>
          <c:showCatName val="0"/>
          <c:showSerName val="0"/>
          <c:showPercent val="0"/>
          <c:showBubbleSize val="0"/>
        </c:dLbls>
        <c:gapWidth val="150"/>
        <c:axId val="-1231978896"/>
        <c:axId val="-1231978352"/>
      </c:barChart>
      <c:catAx>
        <c:axId val="-1231978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231978352"/>
        <c:crosses val="autoZero"/>
        <c:auto val="1"/>
        <c:lblAlgn val="ctr"/>
        <c:lblOffset val="100"/>
        <c:tickLblSkip val="1"/>
        <c:tickMarkSkip val="1"/>
        <c:noMultiLvlLbl val="0"/>
      </c:catAx>
      <c:valAx>
        <c:axId val="-1231978352"/>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231978896"/>
        <c:crosses val="autoZero"/>
        <c:crossBetween val="between"/>
      </c:valAx>
      <c:spPr>
        <a:solidFill>
          <a:srgbClr val="FFFFFF"/>
        </a:solidFill>
        <a:ln w="12700">
          <a:solidFill>
            <a:srgbClr val="FFFFFF"/>
          </a:solidFill>
          <a:prstDash val="solid"/>
        </a:ln>
      </c:spPr>
    </c:plotArea>
    <c:legend>
      <c:legendPos val="r"/>
      <c:layout>
        <c:manualLayout>
          <c:xMode val="edge"/>
          <c:yMode val="edge"/>
          <c:x val="0.82853831867507788"/>
          <c:y val="1.530665809630939E-2"/>
          <c:w val="0.16211846326226764"/>
          <c:h val="8.3628161896771191E-2"/>
        </c:manualLayout>
      </c:layout>
      <c:overlay val="0"/>
      <c:spPr>
        <a:solidFill>
          <a:srgbClr val="FFFFFF"/>
        </a:solidFill>
        <a:ln w="3175">
          <a:solidFill>
            <a:srgbClr val="000000"/>
          </a:solidFill>
          <a:prstDash val="solid"/>
        </a:ln>
      </c:spPr>
      <c:txPr>
        <a:bodyPr/>
        <a:lstStyle/>
        <a:p>
          <a:pPr>
            <a:defRPr sz="75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a:effectLst>
      <a:outerShdw blurRad="292100" dist="50800" dir="5400000" sx="103000" sy="103000" algn="ctr" rotWithShape="0">
        <a:srgbClr val="000000">
          <a:alpha val="43137"/>
        </a:srgbClr>
      </a:outerShdw>
    </a:effectLst>
    <a:scene3d>
      <a:camera prst="orthographicFront"/>
      <a:lightRig rig="threePt" dir="t"/>
    </a:scene3d>
    <a:sp3d>
      <a:bevelT/>
    </a:sp3d>
  </c:spPr>
  <c:txPr>
    <a:bodyPr/>
    <a:lstStyle/>
    <a:p>
      <a:pPr>
        <a:defRPr sz="1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'29'!$AB$42</c:f>
          <c:strCache>
            <c:ptCount val="1"/>
            <c:pt idx="0">
              <c:v>Total Installed Capacity =384115.943</c:v>
            </c:pt>
          </c:strCache>
        </c:strRef>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25967741935483873"/>
          <c:y val="0.20261481016563301"/>
          <c:w val="0.45161290322580644"/>
          <c:h val="0.61002308436964781"/>
        </c:manualLayout>
      </c:layout>
      <c:pieChart>
        <c:varyColors val="1"/>
        <c:ser>
          <c:idx val="0"/>
          <c:order val="0"/>
          <c:explosion val="5"/>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xmlns:c16r2="http://schemas.microsoft.com/office/drawing/2015/06/chart">
              <c:ext xmlns:c16="http://schemas.microsoft.com/office/drawing/2014/chart" uri="{C3380CC4-5D6E-409C-BE32-E72D297353CC}">
                <c16:uniqueId val="{00000000-7DD3-4953-A4F5-1540EECE1A23}"/>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xmlns:c16r2="http://schemas.microsoft.com/office/drawing/2015/06/chart">
              <c:ext xmlns:c16="http://schemas.microsoft.com/office/drawing/2014/chart" uri="{C3380CC4-5D6E-409C-BE32-E72D297353CC}">
                <c16:uniqueId val="{00000001-7DD3-4953-A4F5-1540EECE1A23}"/>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xmlns:c16r2="http://schemas.microsoft.com/office/drawing/2015/06/chart">
              <c:ext xmlns:c16="http://schemas.microsoft.com/office/drawing/2014/chart" uri="{C3380CC4-5D6E-409C-BE32-E72D297353CC}">
                <c16:uniqueId val="{00000002-7DD3-4953-A4F5-1540EECE1A23}"/>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c:spPr>
            <c:extLst xmlns:c16r2="http://schemas.microsoft.com/office/drawing/2015/06/chart">
              <c:ext xmlns:c16="http://schemas.microsoft.com/office/drawing/2014/chart" uri="{C3380CC4-5D6E-409C-BE32-E72D297353CC}">
                <c16:uniqueId val="{00000003-7DD3-4953-A4F5-1540EECE1A23}"/>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xmlns:c16r2="http://schemas.microsoft.com/office/drawing/2015/06/chart">
              <c:ext xmlns:c16="http://schemas.microsoft.com/office/drawing/2014/chart" uri="{C3380CC4-5D6E-409C-BE32-E72D297353CC}">
                <c16:uniqueId val="{00000004-7DD3-4953-A4F5-1540EECE1A23}"/>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extLst xmlns:c16r2="http://schemas.microsoft.com/office/drawing/2015/06/chart">
              <c:ext xmlns:c16="http://schemas.microsoft.com/office/drawing/2014/chart" uri="{C3380CC4-5D6E-409C-BE32-E72D297353CC}">
                <c16:uniqueId val="{00000005-7DD3-4953-A4F5-1540EECE1A2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tx2">
                      <a:lumMod val="35000"/>
                      <a:lumOff val="65000"/>
                    </a:schemeClr>
                  </a:solidFill>
                </a:ln>
                <a:effectLst/>
              </c:spPr>
            </c:leaderLines>
            <c:extLst xmlns:c16r2="http://schemas.microsoft.com/office/drawing/2015/06/chart">
              <c:ext xmlns:c15="http://schemas.microsoft.com/office/drawing/2012/chart" uri="{CE6537A1-D6FC-4f65-9D91-7224C49458BB}"/>
            </c:extLst>
          </c:dLbls>
          <c:cat>
            <c:strRef>
              <c:f>'29'!$D$41:$I$41</c:f>
              <c:strCache>
                <c:ptCount val="6"/>
                <c:pt idx="0">
                  <c:v>COAL</c:v>
                </c:pt>
                <c:pt idx="1">
                  <c:v>GAS</c:v>
                </c:pt>
                <c:pt idx="2">
                  <c:v>DIESEL</c:v>
                </c:pt>
                <c:pt idx="3">
                  <c:v>NUCLEAR</c:v>
                </c:pt>
                <c:pt idx="4">
                  <c:v>HYDRO</c:v>
                </c:pt>
                <c:pt idx="5">
                  <c:v>RES</c:v>
                </c:pt>
              </c:strCache>
            </c:strRef>
          </c:cat>
          <c:val>
            <c:numRef>
              <c:f>'29'!$D$42:$I$42</c:f>
              <c:numCache>
                <c:formatCode>0.00</c:formatCode>
                <c:ptCount val="6"/>
                <c:pt idx="0" formatCode="General">
                  <c:v>208624.5</c:v>
                </c:pt>
                <c:pt idx="1">
                  <c:v>24924.008999999998</c:v>
                </c:pt>
                <c:pt idx="2" formatCode="General">
                  <c:v>509.70900000000006</c:v>
                </c:pt>
                <c:pt idx="3">
                  <c:v>6780</c:v>
                </c:pt>
                <c:pt idx="4" formatCode="General">
                  <c:v>46322.22</c:v>
                </c:pt>
                <c:pt idx="5" formatCode="General">
                  <c:v>96955.50499999999</c:v>
                </c:pt>
              </c:numCache>
            </c:numRef>
          </c:val>
          <c:extLst xmlns:c16r2="http://schemas.microsoft.com/office/drawing/2015/06/chart">
            <c:ext xmlns:c16="http://schemas.microsoft.com/office/drawing/2014/chart" uri="{C3380CC4-5D6E-409C-BE32-E72D297353CC}">
              <c16:uniqueId val="{00000006-7DD3-4953-A4F5-1540EECE1A2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alignWithMargins="0"/>
    <c:pageMargins b="1" l="0.75" r="0.75" t="1" header="0.5" footer="0.5"/>
    <c:pageSetup paperSize="9" orientation="landscape" horizontalDpi="30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5" Type="http://schemas.openxmlformats.org/officeDocument/2006/relationships/chart" Target="../charts/chart15.xml"/><Relationship Id="rId4"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1.xml"/></Relationships>
</file>

<file path=xl/drawings/drawing1.xml><?xml version="1.0" encoding="utf-8"?>
<xdr:wsDr xmlns:xdr="http://schemas.openxmlformats.org/drawingml/2006/spreadsheetDrawing" xmlns:a="http://schemas.openxmlformats.org/drawingml/2006/main">
  <xdr:twoCellAnchor editAs="oneCell">
    <xdr:from>
      <xdr:col>6</xdr:col>
      <xdr:colOff>361951</xdr:colOff>
      <xdr:row>2</xdr:row>
      <xdr:rowOff>247651</xdr:rowOff>
    </xdr:from>
    <xdr:to>
      <xdr:col>7</xdr:col>
      <xdr:colOff>438150</xdr:colOff>
      <xdr:row>6</xdr:row>
      <xdr:rowOff>198481</xdr:rowOff>
    </xdr:to>
    <xdr:pic>
      <xdr:nvPicPr>
        <xdr:cNvPr id="2" name="Picture 1" descr="File:Emblem of &lt;strong&gt;India&lt;/strong&gt; (Government Gazette).svg - Wikimedia Commons">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51" y="742951"/>
          <a:ext cx="685799" cy="9795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11</xdr:row>
      <xdr:rowOff>0</xdr:rowOff>
    </xdr:from>
    <xdr:to>
      <xdr:col>7</xdr:col>
      <xdr:colOff>790575</xdr:colOff>
      <xdr:row>22</xdr:row>
      <xdr:rowOff>142875</xdr:rowOff>
    </xdr:to>
    <xdr:graphicFrame macro="">
      <xdr:nvGraphicFramePr>
        <xdr:cNvPr id="11262490" name="Chart 1">
          <a:extLst>
            <a:ext uri="{FF2B5EF4-FFF2-40B4-BE49-F238E27FC236}">
              <a16:creationId xmlns:a16="http://schemas.microsoft.com/office/drawing/2014/main" xmlns="" id="{00000000-0008-0000-0400-00001ADAA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33</xdr:row>
      <xdr:rowOff>66674</xdr:rowOff>
    </xdr:from>
    <xdr:to>
      <xdr:col>8</xdr:col>
      <xdr:colOff>47625</xdr:colOff>
      <xdr:row>49</xdr:row>
      <xdr:rowOff>66674</xdr:rowOff>
    </xdr:to>
    <xdr:graphicFrame macro="">
      <xdr:nvGraphicFramePr>
        <xdr:cNvPr id="11262491" name="Chart 2">
          <a:extLst>
            <a:ext uri="{FF2B5EF4-FFF2-40B4-BE49-F238E27FC236}">
              <a16:creationId xmlns:a16="http://schemas.microsoft.com/office/drawing/2014/main" xmlns="" id="{00000000-0008-0000-0400-00001BDAA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10</xdr:row>
      <xdr:rowOff>0</xdr:rowOff>
    </xdr:from>
    <xdr:to>
      <xdr:col>6</xdr:col>
      <xdr:colOff>781050</xdr:colOff>
      <xdr:row>23</xdr:row>
      <xdr:rowOff>66675</xdr:rowOff>
    </xdr:to>
    <xdr:graphicFrame macro="">
      <xdr:nvGraphicFramePr>
        <xdr:cNvPr id="11334163" name="Chart 1">
          <a:extLst>
            <a:ext uri="{FF2B5EF4-FFF2-40B4-BE49-F238E27FC236}">
              <a16:creationId xmlns:a16="http://schemas.microsoft.com/office/drawing/2014/main" xmlns="" id="{00000000-0008-0000-0600-000013F2A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28575</xdr:colOff>
      <xdr:row>35</xdr:row>
      <xdr:rowOff>38100</xdr:rowOff>
    </xdr:from>
    <xdr:to>
      <xdr:col>6</xdr:col>
      <xdr:colOff>885825</xdr:colOff>
      <xdr:row>54</xdr:row>
      <xdr:rowOff>95250</xdr:rowOff>
    </xdr:to>
    <xdr:graphicFrame macro="">
      <xdr:nvGraphicFramePr>
        <xdr:cNvPr id="11334164" name="Chart 5">
          <a:extLst>
            <a:ext uri="{FF2B5EF4-FFF2-40B4-BE49-F238E27FC236}">
              <a16:creationId xmlns:a16="http://schemas.microsoft.com/office/drawing/2014/main" xmlns="" id="{00000000-0008-0000-0600-000014F2A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161925</xdr:colOff>
      <xdr:row>21</xdr:row>
      <xdr:rowOff>85725</xdr:rowOff>
    </xdr:from>
    <xdr:to>
      <xdr:col>12</xdr:col>
      <xdr:colOff>161925</xdr:colOff>
      <xdr:row>42</xdr:row>
      <xdr:rowOff>95250</xdr:rowOff>
    </xdr:to>
    <xdr:graphicFrame macro="">
      <xdr:nvGraphicFramePr>
        <xdr:cNvPr id="15113" name="Chart 1">
          <a:extLst>
            <a:ext uri="{FF2B5EF4-FFF2-40B4-BE49-F238E27FC236}">
              <a16:creationId xmlns:a16="http://schemas.microsoft.com/office/drawing/2014/main" xmlns="" id="{00000000-0008-0000-0700-0000093B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0.42063</cdr:x>
      <cdr:y>0.02277</cdr:y>
    </cdr:from>
    <cdr:to>
      <cdr:x>0.61217</cdr:x>
      <cdr:y>0.09927</cdr:y>
    </cdr:to>
    <cdr:sp macro="" textlink="'3'!$L$79">
      <cdr:nvSpPr>
        <cdr:cNvPr id="2" name="TextBox 2"/>
        <cdr:cNvSpPr txBox="1"/>
      </cdr:nvSpPr>
      <cdr:spPr>
        <a:xfrm xmlns:a="http://schemas.openxmlformats.org/drawingml/2006/main">
          <a:off x="3838254" y="79380"/>
          <a:ext cx="1747793" cy="266690"/>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1E8EC88F-528A-40FF-8515-626E8C334370}" type="TxLink">
            <a:rPr lang="en-US" sz="1000" b="0" i="0" u="none" strike="noStrike">
              <a:solidFill>
                <a:srgbClr val="000000"/>
              </a:solidFill>
              <a:latin typeface="Arial"/>
              <a:cs typeface="Arial"/>
            </a:rPr>
            <a:pPr/>
            <a:t>Total  =  384115.943</a:t>
          </a:fld>
          <a:endParaRPr lang="en-US" sz="1100" b="1"/>
        </a:p>
      </cdr:txBody>
    </cdr:sp>
  </cdr:relSizeAnchor>
</c:userShapes>
</file>

<file path=xl/drawings/drawing6.xml><?xml version="1.0" encoding="utf-8"?>
<xdr:wsDr xmlns:xdr="http://schemas.openxmlformats.org/drawingml/2006/spreadsheetDrawing" xmlns:a="http://schemas.openxmlformats.org/drawingml/2006/main">
  <xdr:twoCellAnchor>
    <xdr:from>
      <xdr:col>1</xdr:col>
      <xdr:colOff>676274</xdr:colOff>
      <xdr:row>10</xdr:row>
      <xdr:rowOff>28574</xdr:rowOff>
    </xdr:from>
    <xdr:to>
      <xdr:col>10</xdr:col>
      <xdr:colOff>266699</xdr:colOff>
      <xdr:row>31</xdr:row>
      <xdr:rowOff>66674</xdr:rowOff>
    </xdr:to>
    <xdr:graphicFrame macro="">
      <xdr:nvGraphicFramePr>
        <xdr:cNvPr id="36613" name="Chart 5">
          <a:extLst>
            <a:ext uri="{FF2B5EF4-FFF2-40B4-BE49-F238E27FC236}">
              <a16:creationId xmlns:a16="http://schemas.microsoft.com/office/drawing/2014/main" xmlns="" id="{00000000-0008-0000-0800-0000058F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609600</xdr:colOff>
      <xdr:row>9</xdr:row>
      <xdr:rowOff>190501</xdr:rowOff>
    </xdr:from>
    <xdr:to>
      <xdr:col>7</xdr:col>
      <xdr:colOff>161925</xdr:colOff>
      <xdr:row>23</xdr:row>
      <xdr:rowOff>9525</xdr:rowOff>
    </xdr:to>
    <xdr:graphicFrame macro="">
      <xdr:nvGraphicFramePr>
        <xdr:cNvPr id="2" name="Chart 1">
          <a:extLst>
            <a:ext uri="{FF2B5EF4-FFF2-40B4-BE49-F238E27FC236}">
              <a16:creationId xmlns:a16="http://schemas.microsoft.com/office/drawing/2014/main" xmlns=""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309562</xdr:colOff>
      <xdr:row>33</xdr:row>
      <xdr:rowOff>133349</xdr:rowOff>
    </xdr:from>
    <xdr:to>
      <xdr:col>7</xdr:col>
      <xdr:colOff>509587</xdr:colOff>
      <xdr:row>49</xdr:row>
      <xdr:rowOff>76199</xdr:rowOff>
    </xdr:to>
    <xdr:graphicFrame macro="">
      <xdr:nvGraphicFramePr>
        <xdr:cNvPr id="3" name="Chart 2">
          <a:extLst>
            <a:ext uri="{FF2B5EF4-FFF2-40B4-BE49-F238E27FC236}">
              <a16:creationId xmlns:a16="http://schemas.microsoft.com/office/drawing/2014/main" xmlns=""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76200</xdr:colOff>
      <xdr:row>10</xdr:row>
      <xdr:rowOff>28575</xdr:rowOff>
    </xdr:from>
    <xdr:to>
      <xdr:col>7</xdr:col>
      <xdr:colOff>428625</xdr:colOff>
      <xdr:row>24</xdr:row>
      <xdr:rowOff>76200</xdr:rowOff>
    </xdr:to>
    <xdr:graphicFrame macro="">
      <xdr:nvGraphicFramePr>
        <xdr:cNvPr id="11522563" name="Chart 3">
          <a:extLst>
            <a:ext uri="{FF2B5EF4-FFF2-40B4-BE49-F238E27FC236}">
              <a16:creationId xmlns:a16="http://schemas.microsoft.com/office/drawing/2014/main" xmlns="" id="{00000000-0008-0000-0A00-000003D2A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790575</xdr:colOff>
      <xdr:row>35</xdr:row>
      <xdr:rowOff>247650</xdr:rowOff>
    </xdr:from>
    <xdr:to>
      <xdr:col>7</xdr:col>
      <xdr:colOff>133350</xdr:colOff>
      <xdr:row>52</xdr:row>
      <xdr:rowOff>0</xdr:rowOff>
    </xdr:to>
    <xdr:graphicFrame macro="">
      <xdr:nvGraphicFramePr>
        <xdr:cNvPr id="11522564" name="Chart 6">
          <a:extLst>
            <a:ext uri="{FF2B5EF4-FFF2-40B4-BE49-F238E27FC236}">
              <a16:creationId xmlns:a16="http://schemas.microsoft.com/office/drawing/2014/main" xmlns="" id="{00000000-0008-0000-0A00-000004D2A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342900</xdr:colOff>
      <xdr:row>5</xdr:row>
      <xdr:rowOff>114299</xdr:rowOff>
    </xdr:from>
    <xdr:to>
      <xdr:col>10</xdr:col>
      <xdr:colOff>514350</xdr:colOff>
      <xdr:row>17</xdr:row>
      <xdr:rowOff>104775</xdr:rowOff>
    </xdr:to>
    <xdr:graphicFrame macro="">
      <xdr:nvGraphicFramePr>
        <xdr:cNvPr id="14089972" name="Chart 1">
          <a:extLst>
            <a:ext uri="{FF2B5EF4-FFF2-40B4-BE49-F238E27FC236}">
              <a16:creationId xmlns:a16="http://schemas.microsoft.com/office/drawing/2014/main" xmlns="" id="{00000000-0008-0000-0C00-0000F4FED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285750</xdr:colOff>
      <xdr:row>23</xdr:row>
      <xdr:rowOff>47624</xdr:rowOff>
    </xdr:from>
    <xdr:to>
      <xdr:col>10</xdr:col>
      <xdr:colOff>466725</xdr:colOff>
      <xdr:row>31</xdr:row>
      <xdr:rowOff>133350</xdr:rowOff>
    </xdr:to>
    <xdr:graphicFrame macro="">
      <xdr:nvGraphicFramePr>
        <xdr:cNvPr id="14089973" name="Chart 2">
          <a:extLst>
            <a:ext uri="{FF2B5EF4-FFF2-40B4-BE49-F238E27FC236}">
              <a16:creationId xmlns:a16="http://schemas.microsoft.com/office/drawing/2014/main" xmlns="" id="{00000000-0008-0000-0C00-0000F5FED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428625</xdr:colOff>
      <xdr:row>41</xdr:row>
      <xdr:rowOff>0</xdr:rowOff>
    </xdr:from>
    <xdr:to>
      <xdr:col>10</xdr:col>
      <xdr:colOff>581025</xdr:colOff>
      <xdr:row>49</xdr:row>
      <xdr:rowOff>0</xdr:rowOff>
    </xdr:to>
    <xdr:graphicFrame macro="">
      <xdr:nvGraphicFramePr>
        <xdr:cNvPr id="14089974" name="Chart 2">
          <a:extLst>
            <a:ext uri="{FF2B5EF4-FFF2-40B4-BE49-F238E27FC236}">
              <a16:creationId xmlns:a16="http://schemas.microsoft.com/office/drawing/2014/main" xmlns="" id="{00000000-0008-0000-0C00-0000F6FED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342900</xdr:colOff>
      <xdr:row>62</xdr:row>
      <xdr:rowOff>114301</xdr:rowOff>
    </xdr:from>
    <xdr:to>
      <xdr:col>10</xdr:col>
      <xdr:colOff>428625</xdr:colOff>
      <xdr:row>73</xdr:row>
      <xdr:rowOff>57150</xdr:rowOff>
    </xdr:to>
    <xdr:graphicFrame macro="">
      <xdr:nvGraphicFramePr>
        <xdr:cNvPr id="14089975" name="Chart 4">
          <a:extLst>
            <a:ext uri="{FF2B5EF4-FFF2-40B4-BE49-F238E27FC236}">
              <a16:creationId xmlns:a16="http://schemas.microsoft.com/office/drawing/2014/main" xmlns="" id="{00000000-0008-0000-0C00-0000F7FED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350547</xdr:colOff>
      <xdr:row>78</xdr:row>
      <xdr:rowOff>137239</xdr:rowOff>
    </xdr:from>
    <xdr:to>
      <xdr:col>10</xdr:col>
      <xdr:colOff>417222</xdr:colOff>
      <xdr:row>91</xdr:row>
      <xdr:rowOff>22940</xdr:rowOff>
    </xdr:to>
    <xdr:graphicFrame macro="">
      <xdr:nvGraphicFramePr>
        <xdr:cNvPr id="14089976" name="Chart 5">
          <a:extLst>
            <a:ext uri="{FF2B5EF4-FFF2-40B4-BE49-F238E27FC236}">
              <a16:creationId xmlns:a16="http://schemas.microsoft.com/office/drawing/2014/main" xmlns="" id="{00000000-0008-0000-0C00-0000F8FED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0.49951</cdr:x>
      <cdr:y>0.49967</cdr:y>
    </cdr:from>
    <cdr:to>
      <cdr:x>0.54841</cdr:x>
      <cdr:y>0.58893</cdr:y>
    </cdr:to>
    <cdr:sp macro="" textlink="">
      <cdr:nvSpPr>
        <cdr:cNvPr id="2092033" name="Text Box 1"/>
        <cdr:cNvSpPr txBox="1">
          <a:spLocks xmlns:a="http://schemas.openxmlformats.org/drawingml/2006/main" noChangeArrowheads="1"/>
        </cdr:cNvSpPr>
      </cdr:nvSpPr>
      <cdr:spPr bwMode="auto">
        <a:xfrm xmlns:a="http://schemas.openxmlformats.org/drawingml/2006/main">
          <a:off x="4001313" y="1314558"/>
          <a:ext cx="406146" cy="228028"/>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anchor="ctr" upright="1"/>
        <a:lstStyle xmlns:a="http://schemas.openxmlformats.org/drawingml/2006/main"/>
        <a:p xmlns:a="http://schemas.openxmlformats.org/drawingml/2006/main">
          <a:endParaRPr lang="en-US"/>
        </a:p>
      </cdr:txBody>
    </cdr:sp>
  </cdr:relSizeAnchor>
</c:userShapes>
</file>

<file path=xl/drawings/drawing11.xml><?xml version="1.0" encoding="utf-8"?>
<c:userShapes xmlns:c="http://schemas.openxmlformats.org/drawingml/2006/chart">
  <cdr:relSizeAnchor xmlns:cdr="http://schemas.openxmlformats.org/drawingml/2006/chartDrawing">
    <cdr:from>
      <cdr:x>0.46825</cdr:x>
      <cdr:y>0.15228</cdr:y>
    </cdr:from>
    <cdr:to>
      <cdr:x>0.59524</cdr:x>
      <cdr:y>0.68514</cdr:y>
    </cdr:to>
    <cdr:sp macro="" textlink="">
      <cdr:nvSpPr>
        <cdr:cNvPr id="2" name="TextBox 1"/>
        <cdr:cNvSpPr txBox="1"/>
      </cdr:nvSpPr>
      <cdr:spPr>
        <a:xfrm xmlns:a="http://schemas.openxmlformats.org/drawingml/2006/main">
          <a:off x="3371850" y="2667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dr:relSizeAnchor xmlns:cdr="http://schemas.openxmlformats.org/drawingml/2006/chartDrawing">
    <cdr:from>
      <cdr:x>0.82801</cdr:x>
      <cdr:y>0.10203</cdr:y>
    </cdr:from>
    <cdr:to>
      <cdr:x>0.94595</cdr:x>
      <cdr:y>0.62589</cdr:y>
    </cdr:to>
    <cdr:sp macro="" textlink="">
      <cdr:nvSpPr>
        <cdr:cNvPr id="3" name="TextBox 2"/>
        <cdr:cNvSpPr txBox="1"/>
      </cdr:nvSpPr>
      <cdr:spPr>
        <a:xfrm xmlns:a="http://schemas.openxmlformats.org/drawingml/2006/main">
          <a:off x="6419850" y="18097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dr:relSizeAnchor xmlns:cdr="http://schemas.openxmlformats.org/drawingml/2006/chartDrawing">
    <cdr:from>
      <cdr:x>0.85749</cdr:x>
      <cdr:y>0.16059</cdr:y>
    </cdr:from>
    <cdr:to>
      <cdr:x>0.97543</cdr:x>
      <cdr:y>0.6849</cdr:y>
    </cdr:to>
    <cdr:sp macro="" textlink="">
      <cdr:nvSpPr>
        <cdr:cNvPr id="4" name="TextBox 3"/>
        <cdr:cNvSpPr txBox="1"/>
      </cdr:nvSpPr>
      <cdr:spPr>
        <a:xfrm xmlns:a="http://schemas.openxmlformats.org/drawingml/2006/main">
          <a:off x="6648450" y="28575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dr:relSizeAnchor xmlns:cdr="http://schemas.openxmlformats.org/drawingml/2006/chartDrawing">
    <cdr:from>
      <cdr:x>0.86118</cdr:x>
      <cdr:y>0.24054</cdr:y>
    </cdr:from>
    <cdr:to>
      <cdr:x>0.97912</cdr:x>
      <cdr:y>0.44414</cdr:y>
    </cdr:to>
    <cdr:sp macro="" textlink="">
      <cdr:nvSpPr>
        <cdr:cNvPr id="5" name="TextBox 4"/>
        <cdr:cNvSpPr txBox="1"/>
      </cdr:nvSpPr>
      <cdr:spPr>
        <a:xfrm xmlns:a="http://schemas.openxmlformats.org/drawingml/2006/main">
          <a:off x="6677025" y="428626"/>
          <a:ext cx="914400" cy="3524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dr:relSizeAnchor xmlns:cdr="http://schemas.openxmlformats.org/drawingml/2006/chartDrawing">
    <cdr:from>
      <cdr:x>0.88206</cdr:x>
      <cdr:y>0.17658</cdr:y>
    </cdr:from>
    <cdr:to>
      <cdr:x>1</cdr:x>
      <cdr:y>0.70089</cdr:y>
    </cdr:to>
    <cdr:sp macro="" textlink="">
      <cdr:nvSpPr>
        <cdr:cNvPr id="6" name="TextBox 5"/>
        <cdr:cNvSpPr txBox="1"/>
      </cdr:nvSpPr>
      <cdr:spPr>
        <a:xfrm xmlns:a="http://schemas.openxmlformats.org/drawingml/2006/main">
          <a:off x="708660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dr:relSizeAnchor xmlns:cdr="http://schemas.openxmlformats.org/drawingml/2006/chartDrawing">
    <cdr:from>
      <cdr:x>0.88206</cdr:x>
      <cdr:y>0.19258</cdr:y>
    </cdr:from>
    <cdr:to>
      <cdr:x>1</cdr:x>
      <cdr:y>0.71688</cdr:y>
    </cdr:to>
    <cdr:sp macro="" textlink="">
      <cdr:nvSpPr>
        <cdr:cNvPr id="8" name="TextBox 7"/>
        <cdr:cNvSpPr txBox="1"/>
      </cdr:nvSpPr>
      <cdr:spPr>
        <a:xfrm xmlns:a="http://schemas.openxmlformats.org/drawingml/2006/main">
          <a:off x="7105650" y="3429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dr:relSizeAnchor xmlns:cdr="http://schemas.openxmlformats.org/drawingml/2006/chartDrawing">
    <cdr:from>
      <cdr:x>0.49386</cdr:x>
      <cdr:y>0.48265</cdr:y>
    </cdr:from>
    <cdr:to>
      <cdr:x>0.61179</cdr:x>
      <cdr:y>0.9991</cdr:y>
    </cdr:to>
    <cdr:sp macro="" textlink="">
      <cdr:nvSpPr>
        <cdr:cNvPr id="9" name="TextBox 8"/>
        <cdr:cNvSpPr txBox="1"/>
      </cdr:nvSpPr>
      <cdr:spPr>
        <a:xfrm xmlns:a="http://schemas.openxmlformats.org/drawingml/2006/main">
          <a:off x="3829050" y="16383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12.xml><?xml version="1.0" encoding="utf-8"?>
<xdr:wsDr xmlns:xdr="http://schemas.openxmlformats.org/drawingml/2006/spreadsheetDrawing" xmlns:a="http://schemas.openxmlformats.org/drawingml/2006/main">
  <xdr:twoCellAnchor>
    <xdr:from>
      <xdr:col>1</xdr:col>
      <xdr:colOff>571102</xdr:colOff>
      <xdr:row>37</xdr:row>
      <xdr:rowOff>107553</xdr:rowOff>
    </xdr:from>
    <xdr:to>
      <xdr:col>8</xdr:col>
      <xdr:colOff>142478</xdr:colOff>
      <xdr:row>56</xdr:row>
      <xdr:rowOff>78978</xdr:rowOff>
    </xdr:to>
    <xdr:graphicFrame macro="">
      <xdr:nvGraphicFramePr>
        <xdr:cNvPr id="2" name="Chart 1">
          <a:extLst>
            <a:ext uri="{FF2B5EF4-FFF2-40B4-BE49-F238E27FC236}">
              <a16:creationId xmlns:a16="http://schemas.microsoft.com/office/drawing/2014/main" xmlns=""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514350</xdr:colOff>
      <xdr:row>10</xdr:row>
      <xdr:rowOff>104775</xdr:rowOff>
    </xdr:from>
    <xdr:to>
      <xdr:col>7</xdr:col>
      <xdr:colOff>438150</xdr:colOff>
      <xdr:row>21</xdr:row>
      <xdr:rowOff>314325</xdr:rowOff>
    </xdr:to>
    <xdr:graphicFrame macro="">
      <xdr:nvGraphicFramePr>
        <xdr:cNvPr id="3" name="Chart 2">
          <a:extLst>
            <a:ext uri="{FF2B5EF4-FFF2-40B4-BE49-F238E27FC236}">
              <a16:creationId xmlns:a16="http://schemas.microsoft.com/office/drawing/2014/main" xmlns=""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2</xdr:col>
      <xdr:colOff>47625</xdr:colOff>
      <xdr:row>19</xdr:row>
      <xdr:rowOff>95250</xdr:rowOff>
    </xdr:from>
    <xdr:to>
      <xdr:col>10</xdr:col>
      <xdr:colOff>104775</xdr:colOff>
      <xdr:row>34</xdr:row>
      <xdr:rowOff>171450</xdr:rowOff>
    </xdr:to>
    <xdr:graphicFrame macro="">
      <xdr:nvGraphicFramePr>
        <xdr:cNvPr id="11737585" name="Chart 1">
          <a:extLst>
            <a:ext uri="{FF2B5EF4-FFF2-40B4-BE49-F238E27FC236}">
              <a16:creationId xmlns:a16="http://schemas.microsoft.com/office/drawing/2014/main" xmlns="" id="{00000000-0008-0000-1100-0000F119B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76200</xdr:colOff>
      <xdr:row>36</xdr:row>
      <xdr:rowOff>76201</xdr:rowOff>
    </xdr:from>
    <xdr:to>
      <xdr:col>9</xdr:col>
      <xdr:colOff>1028700</xdr:colOff>
      <xdr:row>50</xdr:row>
      <xdr:rowOff>247651</xdr:rowOff>
    </xdr:to>
    <xdr:graphicFrame macro="">
      <xdr:nvGraphicFramePr>
        <xdr:cNvPr id="2" name="Chart 1">
          <a:extLst>
            <a:ext uri="{FF2B5EF4-FFF2-40B4-BE49-F238E27FC236}">
              <a16:creationId xmlns:a16="http://schemas.microsoft.com/office/drawing/2014/main" xmlns=""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xdr:col>
      <xdr:colOff>552450</xdr:colOff>
      <xdr:row>32</xdr:row>
      <xdr:rowOff>28575</xdr:rowOff>
    </xdr:from>
    <xdr:to>
      <xdr:col>9</xdr:col>
      <xdr:colOff>400050</xdr:colOff>
      <xdr:row>50</xdr:row>
      <xdr:rowOff>38099</xdr:rowOff>
    </xdr:to>
    <xdr:graphicFrame macro="">
      <xdr:nvGraphicFramePr>
        <xdr:cNvPr id="16994767" name="Chart 2">
          <a:extLst>
            <a:ext uri="{FF2B5EF4-FFF2-40B4-BE49-F238E27FC236}">
              <a16:creationId xmlns:a16="http://schemas.microsoft.com/office/drawing/2014/main" xmlns="" id="{00000000-0008-0000-1A00-0000CF5103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2</xdr:col>
      <xdr:colOff>561975</xdr:colOff>
      <xdr:row>18</xdr:row>
      <xdr:rowOff>104775</xdr:rowOff>
    </xdr:from>
    <xdr:to>
      <xdr:col>10</xdr:col>
      <xdr:colOff>219075</xdr:colOff>
      <xdr:row>31</xdr:row>
      <xdr:rowOff>95250</xdr:rowOff>
    </xdr:to>
    <xdr:graphicFrame macro="">
      <xdr:nvGraphicFramePr>
        <xdr:cNvPr id="370416" name="Chart 1">
          <a:extLst>
            <a:ext uri="{FF2B5EF4-FFF2-40B4-BE49-F238E27FC236}">
              <a16:creationId xmlns:a16="http://schemas.microsoft.com/office/drawing/2014/main" xmlns="" id="{00000000-0008-0000-2300-0000F0A60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325</xdr:row>
      <xdr:rowOff>0</xdr:rowOff>
    </xdr:from>
    <xdr:to>
      <xdr:col>4</xdr:col>
      <xdr:colOff>9525</xdr:colOff>
      <xdr:row>325</xdr:row>
      <xdr:rowOff>120015</xdr:rowOff>
    </xdr:to>
    <xdr:sp macro="" textlink="">
      <xdr:nvSpPr>
        <xdr:cNvPr id="6" name="Shape 16960">
          <a:extLst>
            <a:ext uri="{FF2B5EF4-FFF2-40B4-BE49-F238E27FC236}">
              <a16:creationId xmlns:a16="http://schemas.microsoft.com/office/drawing/2014/main" xmlns="" id="{00000000-0008-0000-0000-000003000000}"/>
            </a:ext>
          </a:extLst>
        </xdr:cNvPr>
        <xdr:cNvSpPr/>
      </xdr:nvSpPr>
      <xdr:spPr>
        <a:xfrm>
          <a:off x="3200400" y="12439650"/>
          <a:ext cx="9525" cy="120015"/>
        </a:xfrm>
        <a:custGeom>
          <a:avLst/>
          <a:gdLst/>
          <a:ahLst/>
          <a:cxnLst/>
          <a:rect l="0" t="0" r="0" b="0"/>
          <a:pathLst>
            <a:path w="9144" h="120390">
              <a:moveTo>
                <a:pt x="0" y="0"/>
              </a:moveTo>
              <a:lnTo>
                <a:pt x="9144" y="0"/>
              </a:lnTo>
              <a:lnTo>
                <a:pt x="9144" y="120390"/>
              </a:lnTo>
              <a:lnTo>
                <a:pt x="0" y="120390"/>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clientData/>
  </xdr:twoCellAnchor>
  <xdr:twoCellAnchor>
    <xdr:from>
      <xdr:col>4</xdr:col>
      <xdr:colOff>0</xdr:colOff>
      <xdr:row>325</xdr:row>
      <xdr:rowOff>0</xdr:rowOff>
    </xdr:from>
    <xdr:to>
      <xdr:col>4</xdr:col>
      <xdr:colOff>9525</xdr:colOff>
      <xdr:row>325</xdr:row>
      <xdr:rowOff>120015</xdr:rowOff>
    </xdr:to>
    <xdr:sp macro="" textlink="">
      <xdr:nvSpPr>
        <xdr:cNvPr id="7" name="Shape 16960">
          <a:extLst>
            <a:ext uri="{FF2B5EF4-FFF2-40B4-BE49-F238E27FC236}">
              <a16:creationId xmlns:a16="http://schemas.microsoft.com/office/drawing/2014/main" xmlns="" id="{00000000-0008-0000-0000-000004000000}"/>
            </a:ext>
          </a:extLst>
        </xdr:cNvPr>
        <xdr:cNvSpPr/>
      </xdr:nvSpPr>
      <xdr:spPr>
        <a:xfrm>
          <a:off x="3200400" y="12439650"/>
          <a:ext cx="9525" cy="120015"/>
        </a:xfrm>
        <a:custGeom>
          <a:avLst/>
          <a:gdLst/>
          <a:ahLst/>
          <a:cxnLst/>
          <a:rect l="0" t="0" r="0" b="0"/>
          <a:pathLst>
            <a:path w="9144" h="120390">
              <a:moveTo>
                <a:pt x="0" y="0"/>
              </a:moveTo>
              <a:lnTo>
                <a:pt x="9144" y="0"/>
              </a:lnTo>
              <a:lnTo>
                <a:pt x="9144" y="120390"/>
              </a:lnTo>
              <a:lnTo>
                <a:pt x="0" y="120390"/>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2060"/>
  </sheetPr>
  <dimension ref="B1:S435"/>
  <sheetViews>
    <sheetView view="pageBreakPreview" topLeftCell="A16" zoomScale="64" zoomScaleNormal="100" zoomScaleSheetLayoutView="64" workbookViewId="0">
      <selection activeCell="J28" sqref="J28"/>
    </sheetView>
  </sheetViews>
  <sheetFormatPr defaultColWidth="9.140625" defaultRowHeight="12.75"/>
  <cols>
    <col min="1" max="1" width="9.140625" style="1"/>
    <col min="2" max="2" width="4.5703125" style="1" customWidth="1"/>
    <col min="3" max="5" width="9.140625" style="1"/>
    <col min="6" max="6" width="9.140625" style="1" customWidth="1"/>
    <col min="7" max="9" width="9.140625" style="1"/>
    <col min="10" max="10" width="14.85546875" style="1" customWidth="1"/>
    <col min="11" max="11" width="18.85546875" style="1" customWidth="1"/>
    <col min="12" max="12" width="9.140625" style="1" hidden="1" customWidth="1"/>
    <col min="13" max="13" width="9.140625" style="1" customWidth="1"/>
    <col min="14" max="14" width="17" style="1" customWidth="1"/>
    <col min="15" max="15" width="15.5703125" style="1" customWidth="1"/>
    <col min="16" max="16" width="19.85546875" style="1" customWidth="1"/>
    <col min="17" max="17" width="16.28515625" style="1" customWidth="1"/>
    <col min="18" max="18" width="8.140625" style="1" customWidth="1"/>
    <col min="19" max="16384" width="9.140625" style="1"/>
  </cols>
  <sheetData>
    <row r="1" spans="2:19" ht="42.75" customHeight="1">
      <c r="B1" s="227"/>
      <c r="C1" s="228"/>
      <c r="D1" s="228"/>
      <c r="E1" s="228"/>
      <c r="F1" s="228"/>
      <c r="G1" s="228"/>
      <c r="H1" s="228"/>
      <c r="I1" s="228"/>
      <c r="J1" s="228"/>
      <c r="K1" s="229"/>
      <c r="L1" s="226"/>
      <c r="M1" s="1107" t="s">
        <v>1346</v>
      </c>
      <c r="N1" s="1108" t="s">
        <v>1347</v>
      </c>
      <c r="O1" s="1108" t="s">
        <v>712</v>
      </c>
    </row>
    <row r="2" spans="2:19" ht="20.25">
      <c r="B2" s="230"/>
      <c r="C2" s="231"/>
      <c r="D2" s="231"/>
      <c r="E2" s="231"/>
      <c r="F2" s="231"/>
      <c r="G2" s="231"/>
      <c r="H2" s="231"/>
      <c r="I2" s="231"/>
      <c r="J2" s="231"/>
      <c r="K2" s="232"/>
      <c r="L2" s="15"/>
      <c r="M2" s="734">
        <v>43922</v>
      </c>
      <c r="N2" s="1334">
        <f>EOMONTH(LY,-1)</f>
        <v>43982</v>
      </c>
      <c r="O2" s="734">
        <v>43983</v>
      </c>
      <c r="P2" s="735"/>
      <c r="Q2" s="733"/>
      <c r="R2" s="733"/>
      <c r="S2" s="733"/>
    </row>
    <row r="3" spans="2:19" ht="20.25">
      <c r="B3" s="230"/>
      <c r="C3" s="231"/>
      <c r="D3" s="231"/>
      <c r="E3" s="231"/>
      <c r="F3" s="231"/>
      <c r="G3" s="231"/>
      <c r="H3" s="231"/>
      <c r="I3" s="231"/>
      <c r="J3" s="231"/>
      <c r="K3" s="232"/>
      <c r="M3" s="734">
        <v>44287</v>
      </c>
      <c r="N3" s="1334">
        <f>EOMONTH(TY,-1)</f>
        <v>44347</v>
      </c>
      <c r="O3" s="734">
        <v>44348</v>
      </c>
    </row>
    <row r="4" spans="2:19" ht="20.25">
      <c r="B4" s="230"/>
      <c r="C4" s="231"/>
      <c r="D4" s="231"/>
      <c r="E4" s="231"/>
      <c r="F4" s="231"/>
      <c r="G4" s="231"/>
      <c r="H4" s="231"/>
      <c r="I4" s="231"/>
      <c r="J4" s="231"/>
      <c r="K4" s="232"/>
      <c r="M4" s="733"/>
      <c r="N4" s="737" t="str">
        <f>""&amp;TEXT(M3,"Mmm-YY") &amp;" to "&amp;TEXT(N3,"Mmm-YY")</f>
        <v>Apr-21 to May-21</v>
      </c>
      <c r="O4" s="737" t="str">
        <f>""&amp;TEXT(M3,"Mmm-YY") &amp;" to "&amp;TEXT(O3,"Mmm-YY")</f>
        <v>Apr-21 to Jun-21</v>
      </c>
      <c r="P4" s="737" t="str">
        <f>""&amp;TEXT(M2,"Mmm-YY") &amp;" to "&amp;TEXT(LY,"Mmm-YY")</f>
        <v>Apr-20 to Jun-20</v>
      </c>
      <c r="Q4" s="737" t="str">
        <f>""&amp;TEXT(M2,"Mmm-YY") &amp;" to "&amp;TEXT(BLY,"Mmm-YY")</f>
        <v>Apr-20 to May-20</v>
      </c>
      <c r="R4" s="736"/>
      <c r="S4" s="733"/>
    </row>
    <row r="5" spans="2:19" ht="20.25">
      <c r="B5" s="230"/>
      <c r="C5" s="231"/>
      <c r="D5" s="231"/>
      <c r="E5" s="231"/>
      <c r="F5" s="231"/>
      <c r="G5" s="231"/>
      <c r="H5" s="231"/>
      <c r="I5" s="231"/>
      <c r="J5" s="231"/>
      <c r="K5" s="232"/>
      <c r="L5" s="562"/>
      <c r="M5" s="733"/>
      <c r="N5" s="733"/>
      <c r="O5" s="733"/>
      <c r="P5" s="733"/>
      <c r="Q5" s="733"/>
      <c r="R5" s="733"/>
      <c r="S5" s="733"/>
    </row>
    <row r="6" spans="2:19" ht="20.25">
      <c r="B6" s="230"/>
      <c r="C6" s="231"/>
      <c r="D6" s="231"/>
      <c r="E6" s="231"/>
      <c r="F6" s="231"/>
      <c r="G6" s="231"/>
      <c r="H6" s="231"/>
      <c r="I6" s="231"/>
      <c r="J6" s="231"/>
      <c r="K6" s="232"/>
      <c r="L6" s="15"/>
      <c r="M6" s="733"/>
      <c r="N6" s="1170" t="s">
        <v>1370</v>
      </c>
      <c r="O6" s="733"/>
      <c r="P6" s="738"/>
      <c r="Q6" s="733"/>
      <c r="R6" s="733"/>
      <c r="S6" s="733"/>
    </row>
    <row r="7" spans="2:19" ht="20.25">
      <c r="B7" s="230"/>
      <c r="C7" s="231"/>
      <c r="D7" s="231"/>
      <c r="E7" s="231"/>
      <c r="F7" s="231"/>
      <c r="G7" s="231"/>
      <c r="H7" s="231"/>
      <c r="I7" s="231"/>
      <c r="J7" s="231"/>
      <c r="K7" s="232"/>
      <c r="L7" s="562"/>
      <c r="M7" s="733"/>
      <c r="N7" s="1169" t="s">
        <v>1371</v>
      </c>
      <c r="O7" s="733"/>
      <c r="P7" s="733"/>
      <c r="Q7" s="733"/>
      <c r="R7" s="733"/>
      <c r="S7" s="733"/>
    </row>
    <row r="8" spans="2:19" ht="24.75">
      <c r="B8" s="1541" t="s">
        <v>732</v>
      </c>
      <c r="C8" s="1542"/>
      <c r="D8" s="1542"/>
      <c r="E8" s="1542"/>
      <c r="F8" s="1542"/>
      <c r="G8" s="1542"/>
      <c r="H8" s="1542"/>
      <c r="I8" s="1542"/>
      <c r="J8" s="1542"/>
      <c r="K8" s="1543"/>
      <c r="L8" s="15"/>
      <c r="M8" s="733"/>
      <c r="N8" s="733"/>
      <c r="O8" s="733"/>
      <c r="P8" s="733"/>
      <c r="Q8" s="733"/>
      <c r="R8" s="733"/>
      <c r="S8" s="739"/>
    </row>
    <row r="9" spans="2:19" ht="24.75">
      <c r="B9" s="1541" t="s">
        <v>733</v>
      </c>
      <c r="C9" s="1542"/>
      <c r="D9" s="1542"/>
      <c r="E9" s="1542"/>
      <c r="F9" s="1542"/>
      <c r="G9" s="1542"/>
      <c r="H9" s="1542"/>
      <c r="I9" s="1542"/>
      <c r="J9" s="1542"/>
      <c r="K9" s="1543"/>
      <c r="L9" s="560"/>
      <c r="M9" s="733"/>
      <c r="N9" s="733"/>
      <c r="O9" s="1171"/>
      <c r="P9" s="733"/>
      <c r="Q9" s="733"/>
      <c r="R9" s="733"/>
      <c r="S9" s="733"/>
    </row>
    <row r="10" spans="2:19" ht="24.75">
      <c r="B10" s="1541" t="s">
        <v>734</v>
      </c>
      <c r="C10" s="1542"/>
      <c r="D10" s="1542"/>
      <c r="E10" s="1542"/>
      <c r="F10" s="1542"/>
      <c r="G10" s="1542"/>
      <c r="H10" s="1542"/>
      <c r="I10" s="1542"/>
      <c r="J10" s="1542"/>
      <c r="K10" s="1543"/>
      <c r="L10" s="560"/>
      <c r="M10" s="733"/>
      <c r="N10" s="733"/>
      <c r="O10" s="733"/>
      <c r="P10" s="733"/>
      <c r="Q10" s="733"/>
      <c r="R10" s="733"/>
      <c r="S10" s="733"/>
    </row>
    <row r="11" spans="2:19" ht="24.75">
      <c r="B11" s="1541" t="s">
        <v>33</v>
      </c>
      <c r="C11" s="1542"/>
      <c r="D11" s="1542"/>
      <c r="E11" s="1542"/>
      <c r="F11" s="1542"/>
      <c r="G11" s="1542"/>
      <c r="H11" s="1542"/>
      <c r="I11" s="1542"/>
      <c r="J11" s="1542"/>
      <c r="K11" s="1543"/>
      <c r="L11" s="560"/>
    </row>
    <row r="12" spans="2:19" ht="24.75">
      <c r="B12" s="1541" t="s">
        <v>735</v>
      </c>
      <c r="C12" s="1542"/>
      <c r="D12" s="1542"/>
      <c r="E12" s="1542"/>
      <c r="F12" s="1542"/>
      <c r="G12" s="1542"/>
      <c r="H12" s="1542"/>
      <c r="I12" s="1542"/>
      <c r="J12" s="1542"/>
      <c r="K12" s="1543"/>
      <c r="L12" s="560"/>
    </row>
    <row r="13" spans="2:19" ht="24.75">
      <c r="B13" s="1541" t="s">
        <v>34</v>
      </c>
      <c r="C13" s="1542"/>
      <c r="D13" s="1542"/>
      <c r="E13" s="1542"/>
      <c r="F13" s="1542"/>
      <c r="G13" s="1542"/>
      <c r="H13" s="1542"/>
      <c r="I13" s="1542"/>
      <c r="J13" s="1542"/>
      <c r="K13" s="1543"/>
      <c r="L13" s="15"/>
    </row>
    <row r="14" spans="2:19" ht="20.25">
      <c r="B14" s="230"/>
      <c r="K14" s="232"/>
      <c r="L14" s="15"/>
    </row>
    <row r="15" spans="2:19" ht="15.75" customHeight="1">
      <c r="B15" s="14"/>
      <c r="K15" s="15"/>
      <c r="L15" s="15"/>
    </row>
    <row r="16" spans="2:19" ht="15.75" customHeight="1">
      <c r="B16" s="14"/>
      <c r="K16" s="15"/>
      <c r="L16" s="15"/>
    </row>
    <row r="17" spans="2:17" ht="21" customHeight="1">
      <c r="B17" s="14"/>
      <c r="D17" s="171"/>
      <c r="E17" s="397"/>
      <c r="F17" s="397"/>
      <c r="G17" s="397"/>
      <c r="H17" s="397"/>
      <c r="I17" s="393"/>
      <c r="J17" s="393"/>
      <c r="K17" s="232"/>
      <c r="L17" s="393"/>
      <c r="M17" s="393"/>
      <c r="N17" s="393"/>
      <c r="O17" s="394"/>
    </row>
    <row r="18" spans="2:17" ht="18" customHeight="1">
      <c r="B18" s="14"/>
      <c r="D18" s="398"/>
      <c r="E18" s="398"/>
      <c r="F18" s="398"/>
      <c r="G18" s="398"/>
      <c r="H18" s="398"/>
      <c r="I18" s="395"/>
      <c r="J18" s="395"/>
      <c r="K18" s="232"/>
      <c r="L18" s="395"/>
      <c r="M18" s="395"/>
      <c r="N18" s="396"/>
    </row>
    <row r="19" spans="2:17" ht="15.75" customHeight="1">
      <c r="B19" s="14"/>
      <c r="D19" s="171"/>
      <c r="E19" s="171"/>
      <c r="F19" s="171"/>
      <c r="G19" s="171"/>
      <c r="H19" s="171"/>
      <c r="K19" s="15"/>
      <c r="L19" s="15"/>
    </row>
    <row r="20" spans="2:17">
      <c r="B20" s="14"/>
      <c r="K20" s="15"/>
      <c r="L20" s="15"/>
    </row>
    <row r="21" spans="2:17" ht="11.25" customHeight="1">
      <c r="B21" s="1544"/>
      <c r="C21" s="1545"/>
      <c r="D21" s="1545"/>
      <c r="E21" s="1545"/>
      <c r="F21" s="1545"/>
      <c r="G21" s="1545"/>
      <c r="H21" s="1545"/>
      <c r="I21" s="1545"/>
      <c r="J21" s="1545"/>
      <c r="K21" s="1546"/>
      <c r="L21" s="15"/>
    </row>
    <row r="22" spans="2:17" ht="27.75" customHeight="1">
      <c r="B22" s="1535" t="s">
        <v>736</v>
      </c>
      <c r="C22" s="1536"/>
      <c r="D22" s="1536"/>
      <c r="E22" s="1536"/>
      <c r="F22" s="1536"/>
      <c r="G22" s="1536"/>
      <c r="H22" s="1536"/>
      <c r="I22" s="1536"/>
      <c r="J22" s="1536"/>
      <c r="K22" s="1537"/>
      <c r="L22" s="15"/>
    </row>
    <row r="23" spans="2:17" ht="20.25" customHeight="1">
      <c r="B23" s="390"/>
      <c r="C23" s="391"/>
      <c r="D23" s="391"/>
      <c r="E23" s="391"/>
      <c r="F23" s="391"/>
      <c r="G23" s="391"/>
      <c r="H23" s="391"/>
      <c r="I23" s="391"/>
      <c r="J23" s="391"/>
      <c r="K23" s="392"/>
      <c r="L23" s="15"/>
      <c r="Q23" s="1">
        <f>TY</f>
        <v>44348</v>
      </c>
    </row>
    <row r="24" spans="2:17" ht="32.25" customHeight="1">
      <c r="B24" s="1532">
        <f>TY</f>
        <v>44348</v>
      </c>
      <c r="C24" s="1533"/>
      <c r="D24" s="1533"/>
      <c r="E24" s="1533"/>
      <c r="F24" s="1533"/>
      <c r="G24" s="1533"/>
      <c r="H24" s="1533"/>
      <c r="I24" s="1533"/>
      <c r="J24" s="1533"/>
      <c r="K24" s="1534"/>
      <c r="L24" s="15"/>
    </row>
    <row r="25" spans="2:17" ht="29.25" customHeight="1">
      <c r="B25" s="1535"/>
      <c r="C25" s="1536"/>
      <c r="D25" s="1536"/>
      <c r="E25" s="1536"/>
      <c r="F25" s="1536"/>
      <c r="G25" s="1536"/>
      <c r="H25" s="1536"/>
      <c r="I25" s="1536"/>
      <c r="J25" s="1536"/>
      <c r="K25" s="1537"/>
      <c r="L25" s="15"/>
    </row>
    <row r="26" spans="2:17" ht="33.75">
      <c r="B26" s="1538"/>
      <c r="C26" s="1539"/>
      <c r="D26" s="1539"/>
      <c r="E26" s="1539"/>
      <c r="F26" s="1539"/>
      <c r="G26" s="1539"/>
      <c r="H26" s="1539"/>
      <c r="I26" s="1539"/>
      <c r="J26" s="1539"/>
      <c r="K26" s="1540"/>
      <c r="L26" s="15"/>
    </row>
    <row r="27" spans="2:17" ht="27">
      <c r="B27" s="236"/>
      <c r="C27" s="237"/>
      <c r="D27" s="237"/>
      <c r="E27" s="237"/>
      <c r="F27" s="237"/>
      <c r="G27" s="237"/>
      <c r="H27" s="237"/>
      <c r="I27" s="237"/>
      <c r="J27" s="237"/>
      <c r="K27" s="238"/>
      <c r="L27" s="15"/>
    </row>
    <row r="28" spans="2:17" ht="20.25">
      <c r="B28" s="230"/>
      <c r="C28" s="231"/>
      <c r="D28" s="231"/>
      <c r="E28" s="231"/>
      <c r="F28" s="231"/>
      <c r="G28" s="344"/>
      <c r="H28" s="231"/>
      <c r="I28" s="231"/>
      <c r="J28" s="231"/>
      <c r="K28" s="232"/>
      <c r="L28" s="15"/>
    </row>
    <row r="29" spans="2:17" ht="10.5" customHeight="1">
      <c r="B29" s="230"/>
      <c r="C29" s="231"/>
      <c r="D29" s="231"/>
      <c r="E29" s="231"/>
      <c r="F29" s="231"/>
      <c r="G29" s="231"/>
      <c r="H29" s="231"/>
      <c r="I29" s="231"/>
      <c r="J29" s="231"/>
      <c r="K29" s="232"/>
      <c r="L29" s="15"/>
    </row>
    <row r="30" spans="2:17" ht="20.25">
      <c r="B30" s="230"/>
      <c r="C30" s="231"/>
      <c r="D30" s="231"/>
      <c r="E30" s="231"/>
      <c r="F30" s="231"/>
      <c r="G30" s="231"/>
      <c r="H30" s="231"/>
      <c r="I30" s="231"/>
      <c r="J30" s="231"/>
      <c r="K30" s="232"/>
      <c r="L30" s="15"/>
    </row>
    <row r="31" spans="2:17" ht="17.25" customHeight="1" thickBot="1">
      <c r="B31" s="233"/>
      <c r="C31" s="234"/>
      <c r="D31" s="234"/>
      <c r="E31" s="234"/>
      <c r="F31" s="234"/>
      <c r="G31" s="234"/>
      <c r="H31" s="234"/>
      <c r="I31" s="234"/>
      <c r="J31" s="234"/>
      <c r="K31" s="235"/>
      <c r="L31" s="218"/>
    </row>
    <row r="35" spans="3:4">
      <c r="C35" s="569"/>
      <c r="D35" s="569"/>
    </row>
    <row r="51" ht="21.75" customHeight="1"/>
    <row r="435" ht="23.25" customHeight="1"/>
  </sheetData>
  <mergeCells count="11">
    <mergeCell ref="B9:K9"/>
    <mergeCell ref="B10:K10"/>
    <mergeCell ref="B11:K11"/>
    <mergeCell ref="B12:K12"/>
    <mergeCell ref="B8:K8"/>
    <mergeCell ref="B24:K24"/>
    <mergeCell ref="B25:K25"/>
    <mergeCell ref="B26:K26"/>
    <mergeCell ref="B13:K13"/>
    <mergeCell ref="B21:K21"/>
    <mergeCell ref="B22:K22"/>
  </mergeCells>
  <phoneticPr fontId="17" type="noConversion"/>
  <printOptions horizontalCentered="1" verticalCentered="1"/>
  <pageMargins left="0.75" right="0.75" top="1" bottom="1" header="0.5" footer="0.5"/>
  <pageSetup scale="7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2060"/>
  </sheetPr>
  <dimension ref="A1:M435"/>
  <sheetViews>
    <sheetView view="pageBreakPreview" topLeftCell="A25" zoomScale="64" zoomScaleNormal="100" zoomScaleSheetLayoutView="64" workbookViewId="0">
      <selection activeCell="J28" sqref="J28"/>
    </sheetView>
  </sheetViews>
  <sheetFormatPr defaultColWidth="9.140625" defaultRowHeight="15" customHeight="1"/>
  <cols>
    <col min="1" max="1" width="9.140625" style="166"/>
    <col min="2" max="2" width="8.42578125" style="166" customWidth="1"/>
    <col min="3" max="3" width="6.140625" style="167" customWidth="1"/>
    <col min="4" max="4" width="87.7109375" style="166" customWidth="1"/>
    <col min="5" max="5" width="8.85546875" style="166" customWidth="1"/>
    <col min="6" max="6" width="9.28515625" style="166" hidden="1" customWidth="1"/>
    <col min="7" max="16384" width="9.140625" style="166"/>
  </cols>
  <sheetData>
    <row r="1" spans="1:13" ht="15" customHeight="1" thickBot="1">
      <c r="C1" s="946"/>
      <c r="D1" s="896"/>
      <c r="E1" s="896"/>
    </row>
    <row r="2" spans="1:13" ht="12.75" customHeight="1" thickBot="1">
      <c r="B2" s="896"/>
      <c r="C2" s="946"/>
      <c r="D2" s="896"/>
      <c r="E2" s="896"/>
      <c r="F2" s="302"/>
    </row>
    <row r="3" spans="1:13" ht="29.25" customHeight="1">
      <c r="A3" s="896"/>
      <c r="B3" s="896"/>
      <c r="C3" s="1550" t="str">
        <f xml:space="preserve"> "Executive Summary for the Month of" &amp;TEXT(TY," mmmm-yyyy")</f>
        <v>Executive Summary for the Month of June-2021</v>
      </c>
      <c r="D3" s="1551"/>
      <c r="E3" s="1552"/>
      <c r="F3" s="303"/>
    </row>
    <row r="4" spans="1:13" ht="17.25" customHeight="1">
      <c r="A4" s="896"/>
      <c r="B4" s="896"/>
      <c r="C4" s="1570" t="s">
        <v>22</v>
      </c>
      <c r="D4" s="1571"/>
      <c r="E4" s="1572"/>
      <c r="F4" s="304"/>
    </row>
    <row r="5" spans="1:13" ht="15.75" customHeight="1">
      <c r="A5" s="896"/>
      <c r="B5" s="896"/>
      <c r="C5" s="307" t="s">
        <v>77</v>
      </c>
      <c r="D5" s="168" t="s">
        <v>23</v>
      </c>
      <c r="E5" s="897" t="s">
        <v>78</v>
      </c>
      <c r="F5" s="304"/>
    </row>
    <row r="6" spans="1:13" ht="15" customHeight="1">
      <c r="A6" s="896"/>
      <c r="B6" s="896"/>
      <c r="C6" s="308">
        <v>1</v>
      </c>
      <c r="D6" s="158" t="str">
        <f>"Electricity Generation for " &amp;TEXT(TY," mmm-yyyy")  &amp;" (BU)"</f>
        <v>Electricity Generation for  Jun-2021 (BU)</v>
      </c>
      <c r="E6" s="898" t="s">
        <v>573</v>
      </c>
      <c r="F6" s="304"/>
    </row>
    <row r="7" spans="1:13" ht="15" customHeight="1">
      <c r="A7" s="896"/>
      <c r="B7" s="896"/>
      <c r="C7" s="308">
        <v>2</v>
      </c>
      <c r="D7" s="158" t="str">
        <f>"Generating Capacity Addition for "  &amp;TEXT(TY, "mmm-yyyy") &amp;"  (MW)"</f>
        <v>Generating Capacity Addition for Jun-2021  (MW)</v>
      </c>
      <c r="E7" s="899">
        <v>2</v>
      </c>
      <c r="F7" s="304"/>
    </row>
    <row r="8" spans="1:13" ht="15" customHeight="1">
      <c r="A8" s="896"/>
      <c r="B8" s="896"/>
      <c r="C8" s="308">
        <v>3</v>
      </c>
      <c r="D8" s="158" t="str">
        <f>"List of Projects Commissioned in " &amp;TEXT(TY, "mmm-yyyy")</f>
        <v>List of Projects Commissioned in Jun-2021</v>
      </c>
      <c r="E8" s="899">
        <v>3</v>
      </c>
      <c r="F8" s="304"/>
    </row>
    <row r="9" spans="1:13" ht="15" customHeight="1">
      <c r="A9" s="896"/>
      <c r="B9" s="896"/>
      <c r="C9" s="308">
        <v>4</v>
      </c>
      <c r="D9" s="158" t="str">
        <f>"All India Installed Capacity (MW) Region-wise as on"  &amp;TEXT( EOMONTH(TY,0)," dd-mm-yyyy")</f>
        <v>All India Installed Capacity (MW) Region-wise as on 30-06-2021</v>
      </c>
      <c r="E9" s="899">
        <v>3</v>
      </c>
      <c r="F9" s="304"/>
    </row>
    <row r="10" spans="1:13" ht="15" customHeight="1">
      <c r="A10" s="896"/>
      <c r="B10" s="896"/>
      <c r="C10" s="308">
        <v>5</v>
      </c>
      <c r="D10" s="158" t="str">
        <f>"All India Installed Capacity (MW) Sector-wise as on"  &amp;TEXT(EOMONTH(TY,0), " dd-mm-yyyy")</f>
        <v>All India Installed Capacity (MW) Sector-wise as on 30-06-2021</v>
      </c>
      <c r="E10" s="899">
        <v>4</v>
      </c>
      <c r="F10" s="304"/>
      <c r="M10" s="570"/>
    </row>
    <row r="11" spans="1:13" ht="15" customHeight="1">
      <c r="A11" s="896"/>
      <c r="B11" s="896"/>
      <c r="C11" s="308">
        <v>6</v>
      </c>
      <c r="D11" s="158" t="str">
        <f>"Transmission Lines Added during" &amp;TEXT(TY," mmm-yyyy") &amp;" (Ckms)"</f>
        <v>Transmission Lines Added during Jun-2021 (Ckms)</v>
      </c>
      <c r="E11" s="899">
        <v>5</v>
      </c>
      <c r="F11" s="304"/>
    </row>
    <row r="12" spans="1:13" ht="15" customHeight="1">
      <c r="A12" s="896"/>
      <c r="B12" s="896"/>
      <c r="C12" s="308">
        <v>7</v>
      </c>
      <c r="D12" s="158" t="str">
        <f>"Transformation Capacity Addition during" &amp;TEXT(TY," mmm-yyyy") &amp; " (MVA)"</f>
        <v>Transformation Capacity Addition during Jun-2021 (MVA)</v>
      </c>
      <c r="E12" s="899">
        <v>6</v>
      </c>
      <c r="F12" s="304"/>
    </row>
    <row r="13" spans="1:13" ht="15" customHeight="1">
      <c r="A13" s="896"/>
      <c r="B13" s="896"/>
      <c r="C13" s="308">
        <v>8</v>
      </c>
      <c r="D13" s="158" t="str">
        <f>"Power Supply Position (Energy &amp; Peak) in" &amp;TEXT(TY," mmm-yyyy")</f>
        <v>Power Supply Position (Energy &amp; Peak) in Jun-2021</v>
      </c>
      <c r="E13" s="899">
        <v>7</v>
      </c>
      <c r="F13" s="304"/>
    </row>
    <row r="14" spans="1:13" ht="15" customHeight="1">
      <c r="A14" s="896"/>
      <c r="B14" s="896"/>
      <c r="C14" s="308">
        <v>9</v>
      </c>
      <c r="D14" s="158" t="s">
        <v>27</v>
      </c>
      <c r="E14" s="900" t="s">
        <v>79</v>
      </c>
      <c r="F14" s="304"/>
    </row>
    <row r="15" spans="1:13" ht="15" customHeight="1">
      <c r="A15" s="896"/>
      <c r="B15" s="896"/>
      <c r="C15" s="308">
        <v>10</v>
      </c>
      <c r="D15" s="158" t="str">
        <f>"All India PLF Sector-wise for" &amp;TEXT(TY," mmm-yyyy")</f>
        <v>All India PLF Sector-wise for Jun-2021</v>
      </c>
      <c r="E15" s="899">
        <v>10</v>
      </c>
      <c r="F15" s="304"/>
    </row>
    <row r="16" spans="1:13" ht="15" customHeight="1">
      <c r="A16" s="896"/>
      <c r="B16" s="896"/>
      <c r="C16" s="308">
        <v>11</v>
      </c>
      <c r="D16" s="158" t="s">
        <v>24</v>
      </c>
      <c r="E16" s="1553">
        <v>11</v>
      </c>
      <c r="F16" s="304"/>
    </row>
    <row r="17" spans="1:6" ht="15" customHeight="1">
      <c r="A17" s="896"/>
      <c r="B17" s="896"/>
      <c r="C17" s="308">
        <v>12</v>
      </c>
      <c r="D17" s="158" t="s">
        <v>760</v>
      </c>
      <c r="E17" s="1553"/>
      <c r="F17" s="304"/>
    </row>
    <row r="18" spans="1:6" ht="15.75" customHeight="1">
      <c r="A18" s="896"/>
      <c r="B18" s="896"/>
      <c r="C18" s="308">
        <v>13</v>
      </c>
      <c r="D18" s="157" t="s">
        <v>480</v>
      </c>
      <c r="E18" s="1553"/>
      <c r="F18" s="304"/>
    </row>
    <row r="19" spans="1:6" ht="15" customHeight="1">
      <c r="A19" s="896"/>
      <c r="B19" s="896"/>
      <c r="C19" s="308">
        <v>14</v>
      </c>
      <c r="D19" s="158" t="s">
        <v>95</v>
      </c>
      <c r="E19" s="1553"/>
      <c r="F19" s="304"/>
    </row>
    <row r="20" spans="1:6" ht="15" customHeight="1">
      <c r="A20" s="896"/>
      <c r="B20" s="896"/>
      <c r="C20" s="1555" t="s">
        <v>32</v>
      </c>
      <c r="D20" s="1556"/>
      <c r="E20" s="1557"/>
      <c r="F20" s="304"/>
    </row>
    <row r="21" spans="1:6" ht="15" customHeight="1">
      <c r="A21" s="896"/>
      <c r="B21" s="896"/>
      <c r="C21" s="308">
        <v>1</v>
      </c>
      <c r="D21" s="215" t="s">
        <v>1199</v>
      </c>
      <c r="E21" s="899">
        <v>12</v>
      </c>
      <c r="F21" s="304"/>
    </row>
    <row r="22" spans="1:6" ht="15" customHeight="1">
      <c r="A22" s="896"/>
      <c r="B22" s="896"/>
      <c r="C22" s="308">
        <v>2</v>
      </c>
      <c r="D22" s="215" t="str">
        <f>"Capacity Addition Targets &amp; Achievements during" &amp; TEXT(TY," mmm-yyyy")</f>
        <v>Capacity Addition Targets &amp; Achievements during Jun-2021</v>
      </c>
      <c r="E22" s="899">
        <v>13</v>
      </c>
      <c r="F22" s="304"/>
    </row>
    <row r="23" spans="1:6" ht="15" customHeight="1">
      <c r="A23" s="896"/>
      <c r="B23" s="896"/>
      <c r="C23" s="308">
        <v>3</v>
      </c>
      <c r="D23" s="215" t="s">
        <v>457</v>
      </c>
      <c r="E23" s="899" t="s">
        <v>96</v>
      </c>
      <c r="F23" s="304"/>
    </row>
    <row r="24" spans="1:6" ht="15" customHeight="1">
      <c r="A24" s="896"/>
      <c r="B24" s="896"/>
      <c r="C24" s="1558" t="s">
        <v>26</v>
      </c>
      <c r="D24" s="1559"/>
      <c r="E24" s="1560"/>
      <c r="F24" s="304"/>
    </row>
    <row r="25" spans="1:6" s="156" customFormat="1" ht="21.75" customHeight="1">
      <c r="A25" s="170"/>
      <c r="B25" s="170"/>
      <c r="C25" s="309">
        <v>1</v>
      </c>
      <c r="D25" s="162" t="str">
        <f>"Programme and Achievements of Transmission Lines in" &amp;TEXT(TY," mmm-yyyy")</f>
        <v>Programme and Achievements of Transmission Lines in Jun-2021</v>
      </c>
      <c r="E25" s="1553">
        <v>20</v>
      </c>
      <c r="F25" s="305"/>
    </row>
    <row r="26" spans="1:6" s="156" customFormat="1" ht="15" customHeight="1">
      <c r="A26" s="170"/>
      <c r="B26" s="170"/>
      <c r="C26" s="310">
        <v>2</v>
      </c>
      <c r="D26" s="163" t="str">
        <f>"List of Transmission Lines Commissioned during"&amp;TEXT(TY," mmm-yyyy")</f>
        <v>List of Transmission Lines Commissioned during Jun-2021</v>
      </c>
      <c r="E26" s="1553"/>
      <c r="F26" s="305"/>
    </row>
    <row r="27" spans="1:6" ht="15" customHeight="1">
      <c r="A27" s="896"/>
      <c r="B27" s="896"/>
      <c r="C27" s="1561" t="s">
        <v>481</v>
      </c>
      <c r="D27" s="1562"/>
      <c r="E27" s="1563"/>
      <c r="F27" s="304"/>
    </row>
    <row r="28" spans="1:6" ht="22.5" customHeight="1">
      <c r="A28" s="896"/>
      <c r="B28" s="896"/>
      <c r="C28" s="310">
        <v>1</v>
      </c>
      <c r="D28" s="162" t="str">
        <f>"Programme and Achievements of Sub-Stations in"&amp;TEXT(TY," mmm-yyyy")</f>
        <v>Programme and Achievements of Sub-Stations in Jun-2021</v>
      </c>
      <c r="E28" s="1554">
        <v>21</v>
      </c>
      <c r="F28" s="304"/>
    </row>
    <row r="29" spans="1:6" ht="15" customHeight="1">
      <c r="A29" s="896"/>
      <c r="B29" s="896"/>
      <c r="C29" s="310">
        <v>2</v>
      </c>
      <c r="D29" s="162" t="str">
        <f>"List of Sub Stations commissioned during" &amp;TEXT(TY," mmm-yyyy")</f>
        <v>List of Sub Stations commissioned during Jun-2021</v>
      </c>
      <c r="E29" s="1553"/>
      <c r="F29" s="304"/>
    </row>
    <row r="30" spans="1:6" ht="15" customHeight="1">
      <c r="A30" s="896"/>
      <c r="B30" s="896"/>
      <c r="C30" s="1564" t="s">
        <v>482</v>
      </c>
      <c r="D30" s="1565"/>
      <c r="E30" s="1566"/>
      <c r="F30" s="304"/>
    </row>
    <row r="31" spans="1:6" ht="15" customHeight="1">
      <c r="A31" s="896"/>
      <c r="B31" s="896"/>
      <c r="C31" s="311">
        <v>1</v>
      </c>
      <c r="D31" s="154" t="s">
        <v>1200</v>
      </c>
      <c r="E31" s="899">
        <v>22</v>
      </c>
      <c r="F31" s="304"/>
    </row>
    <row r="32" spans="1:6" ht="15" customHeight="1">
      <c r="A32" s="896"/>
      <c r="B32" s="896"/>
      <c r="C32" s="1567" t="s">
        <v>2</v>
      </c>
      <c r="D32" s="1568"/>
      <c r="E32" s="1569"/>
      <c r="F32" s="304"/>
    </row>
    <row r="33" spans="1:7" ht="15" customHeight="1">
      <c r="A33" s="896"/>
      <c r="B33" s="896"/>
      <c r="C33" s="308">
        <v>1</v>
      </c>
      <c r="D33" s="157" t="str">
        <f>"Energy Power Supply Position (Provisional) for" &amp; TEXT( TY," mmm-yyyy")</f>
        <v>Energy Power Supply Position (Provisional) for Jun-2021</v>
      </c>
      <c r="E33" s="899">
        <v>23</v>
      </c>
      <c r="F33" s="304"/>
    </row>
    <row r="34" spans="1:7" ht="15" customHeight="1">
      <c r="A34" s="896"/>
      <c r="B34" s="896"/>
      <c r="C34" s="308">
        <v>2</v>
      </c>
      <c r="D34" s="157" t="str">
        <f>"Peak  Power Supply Position (Provisional) for" &amp; TEXT( TY," mmm-yyyy")</f>
        <v>Peak  Power Supply Position (Provisional) for Jun-2021</v>
      </c>
      <c r="E34" s="899">
        <v>24</v>
      </c>
      <c r="F34" s="304"/>
    </row>
    <row r="35" spans="1:7" ht="15" customHeight="1">
      <c r="A35" s="896"/>
      <c r="B35" s="896"/>
      <c r="C35" s="308">
        <v>3</v>
      </c>
      <c r="D35" s="158" t="str">
        <f>"Energy Power Supply Position (Revised) for" &amp; TEXT( BTY," mmm-yyyy") &amp; " and " &amp; " during "  &amp;  BCTY</f>
        <v>Energy Power Supply Position (Revised) for May-2021 and  during Apr-21 to May-21</v>
      </c>
      <c r="E35" s="899">
        <v>25</v>
      </c>
      <c r="F35" s="304"/>
    </row>
    <row r="36" spans="1:7" ht="15" customHeight="1">
      <c r="A36" s="896"/>
      <c r="B36" s="896"/>
      <c r="C36" s="312">
        <v>4</v>
      </c>
      <c r="D36" s="158" t="str">
        <f>"Peak Power Supply Position (Revised) for" &amp; TEXT( BTY," mmm-yyyy") &amp; " and " &amp; " during "  &amp;  BCTY</f>
        <v>Peak Power Supply Position (Revised) for May-2021 and  during Apr-21 to May-21</v>
      </c>
      <c r="E36" s="899">
        <v>26</v>
      </c>
      <c r="F36" s="304"/>
    </row>
    <row r="37" spans="1:7" ht="15" customHeight="1">
      <c r="A37" s="896"/>
      <c r="B37" s="896"/>
      <c r="C37" s="312">
        <v>6</v>
      </c>
      <c r="D37" s="158" t="str">
        <f>"Power Supply to Agricultural Sector during"&amp; TEXT( TY," mmm-yyyy")</f>
        <v>Power Supply to Agricultural Sector during Jun-2021</v>
      </c>
      <c r="E37" s="899">
        <v>27</v>
      </c>
      <c r="F37" s="304"/>
    </row>
    <row r="38" spans="1:7" ht="15" customHeight="1">
      <c r="A38" s="896"/>
      <c r="B38" s="896"/>
      <c r="C38" s="1573" t="s">
        <v>3</v>
      </c>
      <c r="D38" s="1574"/>
      <c r="E38" s="1575"/>
      <c r="F38" s="304"/>
    </row>
    <row r="39" spans="1:7" ht="15" customHeight="1">
      <c r="A39" s="896"/>
      <c r="B39" s="896"/>
      <c r="C39" s="308">
        <v>1</v>
      </c>
      <c r="D39" s="170" t="s">
        <v>456</v>
      </c>
      <c r="E39" s="899">
        <v>28</v>
      </c>
      <c r="F39" s="304"/>
    </row>
    <row r="40" spans="1:7" ht="15" customHeight="1">
      <c r="A40" s="896"/>
      <c r="B40" s="896"/>
      <c r="C40" s="308">
        <v>2</v>
      </c>
      <c r="D40" s="160" t="s">
        <v>455</v>
      </c>
      <c r="E40" s="898">
        <v>29</v>
      </c>
      <c r="F40" s="304"/>
    </row>
    <row r="41" spans="1:7" ht="15" customHeight="1">
      <c r="A41" s="896"/>
      <c r="B41" s="896"/>
      <c r="C41" s="308">
        <v>3</v>
      </c>
      <c r="D41" s="158" t="s">
        <v>395</v>
      </c>
      <c r="E41" s="898">
        <v>30</v>
      </c>
      <c r="F41" s="304"/>
    </row>
    <row r="42" spans="1:7" ht="15" customHeight="1">
      <c r="A42" s="896"/>
      <c r="B42" s="896"/>
      <c r="C42" s="308">
        <v>4</v>
      </c>
      <c r="D42" s="158" t="s">
        <v>31</v>
      </c>
      <c r="E42" s="1576">
        <v>31</v>
      </c>
      <c r="F42" s="304"/>
    </row>
    <row r="43" spans="1:7" ht="15" customHeight="1">
      <c r="A43" s="896"/>
      <c r="B43" s="896"/>
      <c r="C43" s="308">
        <v>5</v>
      </c>
      <c r="D43" s="158" t="s">
        <v>393</v>
      </c>
      <c r="E43" s="1577"/>
      <c r="F43" s="304"/>
    </row>
    <row r="44" spans="1:7" ht="15" customHeight="1">
      <c r="A44" s="896"/>
      <c r="B44" s="896"/>
      <c r="C44" s="308">
        <v>6</v>
      </c>
      <c r="D44" s="157" t="s">
        <v>1191</v>
      </c>
      <c r="E44" s="1578"/>
      <c r="F44" s="304"/>
    </row>
    <row r="45" spans="1:7" ht="15" customHeight="1">
      <c r="A45" s="896"/>
      <c r="B45" s="896"/>
      <c r="C45" s="1547" t="s">
        <v>1090</v>
      </c>
      <c r="D45" s="1548"/>
      <c r="E45" s="1549"/>
      <c r="F45" s="304"/>
    </row>
    <row r="46" spans="1:7" ht="15" customHeight="1" thickBot="1">
      <c r="A46" s="896"/>
      <c r="B46" s="896"/>
      <c r="C46" s="903">
        <v>1</v>
      </c>
      <c r="D46" s="174" t="s">
        <v>2003</v>
      </c>
      <c r="E46" s="904" t="s">
        <v>1542</v>
      </c>
      <c r="F46" s="306"/>
    </row>
    <row r="47" spans="1:7" ht="15" customHeight="1" thickBot="1">
      <c r="A47" s="896"/>
      <c r="B47" s="896"/>
      <c r="C47" s="901">
        <v>2</v>
      </c>
      <c r="D47" s="905" t="s">
        <v>1091</v>
      </c>
      <c r="E47" s="902">
        <v>46</v>
      </c>
      <c r="F47" s="896"/>
    </row>
    <row r="48" spans="1:7" ht="15" customHeight="1">
      <c r="A48" s="896"/>
      <c r="B48" s="896"/>
      <c r="C48" s="946"/>
      <c r="D48" s="946"/>
      <c r="E48" s="896"/>
      <c r="F48" s="896"/>
      <c r="G48" s="896"/>
    </row>
    <row r="49" spans="2:7" ht="15" customHeight="1">
      <c r="B49" s="896"/>
      <c r="C49" s="896"/>
      <c r="D49" s="896"/>
      <c r="E49" s="896"/>
      <c r="F49" s="896"/>
      <c r="G49" s="896"/>
    </row>
    <row r="51" spans="2:7" ht="21.75" customHeight="1"/>
    <row r="435" ht="23.25" customHeight="1"/>
  </sheetData>
  <mergeCells count="13">
    <mergeCell ref="C45:E45"/>
    <mergeCell ref="C3:E3"/>
    <mergeCell ref="E16:E19"/>
    <mergeCell ref="E25:E26"/>
    <mergeCell ref="E28:E29"/>
    <mergeCell ref="C20:E20"/>
    <mergeCell ref="C24:E24"/>
    <mergeCell ref="C27:E27"/>
    <mergeCell ref="C30:E30"/>
    <mergeCell ref="C32:E32"/>
    <mergeCell ref="C4:E4"/>
    <mergeCell ref="C38:E38"/>
    <mergeCell ref="E42:E44"/>
  </mergeCells>
  <phoneticPr fontId="17" type="noConversion"/>
  <printOptions horizontalCentered="1" verticalCentered="1"/>
  <pageMargins left="0.75" right="0.75" top="1" bottom="1" header="0.5" footer="0.5"/>
  <pageSetup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2060"/>
  </sheetPr>
  <dimension ref="A1:G31"/>
  <sheetViews>
    <sheetView view="pageBreakPreview" zoomScale="64" zoomScaleNormal="100" zoomScaleSheetLayoutView="64" workbookViewId="0">
      <selection activeCell="J28" sqref="J28"/>
    </sheetView>
  </sheetViews>
  <sheetFormatPr defaultRowHeight="12.75"/>
  <cols>
    <col min="2" max="3" width="9.140625" style="935"/>
    <col min="4" max="4" width="7" customWidth="1"/>
    <col min="5" max="5" width="12.85546875" customWidth="1"/>
    <col min="6" max="6" width="20.140625" customWidth="1"/>
  </cols>
  <sheetData>
    <row r="1" spans="1:7">
      <c r="A1" s="224"/>
      <c r="B1" s="225"/>
      <c r="C1" s="225"/>
      <c r="D1" s="225"/>
      <c r="E1" s="225"/>
      <c r="F1" s="225"/>
      <c r="G1" s="226"/>
    </row>
    <row r="2" spans="1:7" ht="15" customHeight="1">
      <c r="A2" s="14"/>
      <c r="B2" s="1"/>
      <c r="C2" s="1"/>
      <c r="D2" s="1579" t="s">
        <v>1039</v>
      </c>
      <c r="E2" s="1579"/>
      <c r="F2" s="1579"/>
      <c r="G2" s="933"/>
    </row>
    <row r="3" spans="1:7">
      <c r="A3" s="14"/>
      <c r="B3" s="1"/>
      <c r="C3" s="1"/>
      <c r="D3" s="1"/>
      <c r="E3" s="1"/>
      <c r="F3" s="1"/>
      <c r="G3" s="933"/>
    </row>
    <row r="4" spans="1:7">
      <c r="A4" s="14"/>
      <c r="B4" s="1"/>
      <c r="C4" s="1"/>
      <c r="D4" s="885" t="s">
        <v>720</v>
      </c>
      <c r="E4" s="934" t="s">
        <v>1040</v>
      </c>
      <c r="F4" s="934" t="s">
        <v>1041</v>
      </c>
      <c r="G4" s="933"/>
    </row>
    <row r="5" spans="1:7" s="884" customFormat="1">
      <c r="A5" s="14"/>
      <c r="B5" s="1"/>
      <c r="C5" s="1"/>
      <c r="D5" s="885"/>
      <c r="E5" s="885"/>
      <c r="F5" s="885"/>
      <c r="G5" s="933"/>
    </row>
    <row r="6" spans="1:7">
      <c r="A6" s="14"/>
      <c r="B6" s="1"/>
      <c r="C6" s="1"/>
      <c r="D6" s="886">
        <v>1</v>
      </c>
      <c r="E6" s="832" t="s">
        <v>751</v>
      </c>
      <c r="F6" s="888" t="s">
        <v>1068</v>
      </c>
      <c r="G6" s="933"/>
    </row>
    <row r="7" spans="1:7" ht="25.5">
      <c r="A7" s="14"/>
      <c r="B7" s="1"/>
      <c r="C7" s="1"/>
      <c r="D7" s="886">
        <v>2</v>
      </c>
      <c r="E7" s="832" t="s">
        <v>1064</v>
      </c>
      <c r="F7" s="888" t="s">
        <v>1065</v>
      </c>
      <c r="G7" s="933"/>
    </row>
    <row r="8" spans="1:7" ht="25.5">
      <c r="A8" s="14"/>
      <c r="B8" s="1"/>
      <c r="C8" s="1"/>
      <c r="D8" s="886">
        <v>3</v>
      </c>
      <c r="E8" s="832" t="s">
        <v>1066</v>
      </c>
      <c r="F8" s="888" t="s">
        <v>1067</v>
      </c>
      <c r="G8" s="933"/>
    </row>
    <row r="9" spans="1:7" ht="25.5">
      <c r="A9" s="14"/>
      <c r="B9" s="1"/>
      <c r="C9" s="1"/>
      <c r="D9" s="886">
        <v>4</v>
      </c>
      <c r="E9" s="832" t="s">
        <v>1046</v>
      </c>
      <c r="F9" s="888" t="s">
        <v>1047</v>
      </c>
      <c r="G9" s="933"/>
    </row>
    <row r="10" spans="1:7">
      <c r="A10" s="14"/>
      <c r="B10" s="1"/>
      <c r="C10" s="1"/>
      <c r="D10" s="886">
        <v>5</v>
      </c>
      <c r="E10" s="832" t="s">
        <v>1042</v>
      </c>
      <c r="F10" s="887" t="s">
        <v>1055</v>
      </c>
      <c r="G10" s="933"/>
    </row>
    <row r="11" spans="1:7" ht="25.5">
      <c r="A11" s="14"/>
      <c r="B11" s="1"/>
      <c r="C11" s="1"/>
      <c r="D11" s="886">
        <v>6</v>
      </c>
      <c r="E11" s="832" t="s">
        <v>1072</v>
      </c>
      <c r="F11" s="888" t="s">
        <v>34</v>
      </c>
      <c r="G11" s="933"/>
    </row>
    <row r="12" spans="1:7">
      <c r="A12" s="14"/>
      <c r="B12" s="1"/>
      <c r="C12" s="1"/>
      <c r="D12" s="886">
        <v>7</v>
      </c>
      <c r="E12" s="832" t="s">
        <v>1198</v>
      </c>
      <c r="F12" s="887" t="s">
        <v>1052</v>
      </c>
      <c r="G12" s="933"/>
    </row>
    <row r="13" spans="1:7" s="895" customFormat="1" ht="25.5">
      <c r="A13" s="14"/>
      <c r="B13" s="1"/>
      <c r="C13" s="1"/>
      <c r="D13" s="886">
        <v>8</v>
      </c>
      <c r="E13" s="832" t="s">
        <v>1079</v>
      </c>
      <c r="F13" s="888" t="s">
        <v>1095</v>
      </c>
      <c r="G13" s="933"/>
    </row>
    <row r="14" spans="1:7" ht="25.5">
      <c r="A14" s="14"/>
      <c r="B14" s="1"/>
      <c r="C14" s="1"/>
      <c r="D14" s="886">
        <v>9</v>
      </c>
      <c r="E14" s="832" t="s">
        <v>9</v>
      </c>
      <c r="F14" s="888" t="s">
        <v>1094</v>
      </c>
      <c r="G14" s="933"/>
    </row>
    <row r="15" spans="1:7" ht="25.5">
      <c r="A15" s="14"/>
      <c r="B15" s="1"/>
      <c r="C15" s="1"/>
      <c r="D15" s="886">
        <v>10</v>
      </c>
      <c r="E15" s="832" t="s">
        <v>1</v>
      </c>
      <c r="F15" s="888" t="s">
        <v>1070</v>
      </c>
      <c r="G15" s="933"/>
    </row>
    <row r="16" spans="1:7" ht="25.5">
      <c r="A16" s="14"/>
      <c r="B16" s="1"/>
      <c r="C16" s="1"/>
      <c r="D16" s="886">
        <v>11</v>
      </c>
      <c r="E16" s="832" t="s">
        <v>1060</v>
      </c>
      <c r="F16" s="888" t="s">
        <v>1061</v>
      </c>
      <c r="G16" s="933"/>
    </row>
    <row r="17" spans="1:7">
      <c r="A17" s="14"/>
      <c r="B17" s="1"/>
      <c r="C17" s="1"/>
      <c r="D17" s="886">
        <v>12</v>
      </c>
      <c r="E17" s="890" t="s">
        <v>1075</v>
      </c>
      <c r="F17" s="889" t="s">
        <v>1076</v>
      </c>
      <c r="G17" s="933"/>
    </row>
    <row r="18" spans="1:7">
      <c r="A18" s="14"/>
      <c r="B18" s="1"/>
      <c r="C18" s="1"/>
      <c r="D18" s="886">
        <v>13</v>
      </c>
      <c r="E18" s="832" t="s">
        <v>1195</v>
      </c>
      <c r="F18" s="888" t="s">
        <v>1069</v>
      </c>
      <c r="G18" s="933"/>
    </row>
    <row r="19" spans="1:7">
      <c r="A19" s="14"/>
      <c r="B19" s="1"/>
      <c r="C19" s="1"/>
      <c r="D19" s="886">
        <v>14</v>
      </c>
      <c r="E19" s="832" t="s">
        <v>1190</v>
      </c>
      <c r="F19" s="888" t="s">
        <v>1071</v>
      </c>
      <c r="G19" s="933"/>
    </row>
    <row r="20" spans="1:7">
      <c r="A20" s="14"/>
      <c r="B20" s="1"/>
      <c r="C20" s="1"/>
      <c r="D20" s="886">
        <v>15</v>
      </c>
      <c r="E20" s="832" t="s">
        <v>1048</v>
      </c>
      <c r="F20" s="887" t="s">
        <v>1049</v>
      </c>
      <c r="G20" s="933"/>
    </row>
    <row r="21" spans="1:7">
      <c r="A21" s="14"/>
      <c r="B21" s="1"/>
      <c r="C21" s="1"/>
      <c r="D21" s="886">
        <v>16</v>
      </c>
      <c r="E21" s="832" t="s">
        <v>942</v>
      </c>
      <c r="F21" s="887" t="s">
        <v>1054</v>
      </c>
      <c r="G21" s="933"/>
    </row>
    <row r="22" spans="1:7">
      <c r="A22" s="14"/>
      <c r="B22" s="1"/>
      <c r="C22" s="1"/>
      <c r="D22" s="886">
        <v>17</v>
      </c>
      <c r="E22" s="832" t="s">
        <v>1050</v>
      </c>
      <c r="F22" s="887" t="s">
        <v>1051</v>
      </c>
      <c r="G22" s="933"/>
    </row>
    <row r="23" spans="1:7">
      <c r="A23" s="14"/>
      <c r="B23" s="1"/>
      <c r="C23" s="1"/>
      <c r="D23" s="886">
        <v>18</v>
      </c>
      <c r="E23" s="832" t="s">
        <v>940</v>
      </c>
      <c r="F23" s="887" t="s">
        <v>1043</v>
      </c>
      <c r="G23" s="933"/>
    </row>
    <row r="24" spans="1:7">
      <c r="A24" s="14"/>
      <c r="B24" s="1"/>
      <c r="C24" s="1"/>
      <c r="D24" s="886">
        <v>19</v>
      </c>
      <c r="E24" s="832" t="s">
        <v>476</v>
      </c>
      <c r="F24" s="887" t="s">
        <v>1056</v>
      </c>
      <c r="G24" s="933"/>
    </row>
    <row r="25" spans="1:7">
      <c r="A25" s="14"/>
      <c r="B25" s="1"/>
      <c r="C25" s="1"/>
      <c r="D25" s="886">
        <v>20</v>
      </c>
      <c r="E25" s="832" t="s">
        <v>1058</v>
      </c>
      <c r="F25" s="887" t="s">
        <v>1059</v>
      </c>
      <c r="G25" s="933"/>
    </row>
    <row r="26" spans="1:7" ht="25.5">
      <c r="A26" s="14"/>
      <c r="B26" s="1"/>
      <c r="C26" s="1"/>
      <c r="D26" s="886">
        <v>21</v>
      </c>
      <c r="E26" s="832" t="s">
        <v>447</v>
      </c>
      <c r="F26" s="888" t="s">
        <v>1057</v>
      </c>
      <c r="G26" s="933"/>
    </row>
    <row r="27" spans="1:7" ht="25.5">
      <c r="A27" s="14"/>
      <c r="B27" s="1"/>
      <c r="C27" s="1"/>
      <c r="D27" s="886">
        <v>22</v>
      </c>
      <c r="E27" s="890" t="s">
        <v>1073</v>
      </c>
      <c r="F27" s="889" t="s">
        <v>1074</v>
      </c>
      <c r="G27" s="933"/>
    </row>
    <row r="28" spans="1:7" ht="25.5">
      <c r="A28" s="14"/>
      <c r="B28" s="1"/>
      <c r="C28" s="1"/>
      <c r="D28" s="886">
        <v>23</v>
      </c>
      <c r="E28" s="832" t="s">
        <v>1044</v>
      </c>
      <c r="F28" s="888" t="s">
        <v>1045</v>
      </c>
      <c r="G28" s="933"/>
    </row>
    <row r="29" spans="1:7">
      <c r="A29" s="14"/>
      <c r="B29" s="1"/>
      <c r="C29" s="1"/>
      <c r="D29" s="886">
        <v>24</v>
      </c>
      <c r="E29" s="832" t="s">
        <v>1062</v>
      </c>
      <c r="F29" s="888" t="s">
        <v>1063</v>
      </c>
      <c r="G29" s="933"/>
    </row>
    <row r="30" spans="1:7">
      <c r="A30" s="14"/>
      <c r="B30" s="1"/>
      <c r="C30" s="1"/>
      <c r="D30" s="886">
        <v>25</v>
      </c>
      <c r="E30" s="832" t="s">
        <v>1053</v>
      </c>
      <c r="F30" s="887" t="s">
        <v>1077</v>
      </c>
      <c r="G30" s="933"/>
    </row>
    <row r="31" spans="1:7" ht="13.5" thickBot="1">
      <c r="A31" s="17"/>
      <c r="B31" s="18"/>
      <c r="C31" s="18"/>
      <c r="D31" s="18"/>
      <c r="E31" s="18"/>
      <c r="F31" s="18"/>
      <c r="G31" s="218"/>
    </row>
  </sheetData>
  <sortState ref="E6:F29">
    <sortCondition ref="E6"/>
  </sortState>
  <mergeCells count="1">
    <mergeCell ref="D2:F2"/>
  </mergeCells>
  <printOptions horizontalCentered="1" verticalCentered="1"/>
  <pageMargins left="0.75" right="0.75" top="1" bottom="1" header="0.5" footer="0.5"/>
  <pageSetup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2060"/>
  </sheetPr>
  <dimension ref="A1:I435"/>
  <sheetViews>
    <sheetView view="pageBreakPreview" zoomScale="64" zoomScaleNormal="100" zoomScaleSheetLayoutView="64" workbookViewId="0">
      <selection activeCell="J28" sqref="J28"/>
    </sheetView>
  </sheetViews>
  <sheetFormatPr defaultRowHeight="12.75"/>
  <cols>
    <col min="1" max="1" width="9.140625" style="1"/>
    <col min="2" max="2" width="11.5703125" customWidth="1"/>
    <col min="3" max="3" width="7.85546875" customWidth="1"/>
    <col min="4" max="4" width="101.7109375" customWidth="1"/>
    <col min="5" max="5" width="5.5703125" customWidth="1"/>
    <col min="6" max="6" width="10.5703125" style="121" customWidth="1"/>
  </cols>
  <sheetData>
    <row r="1" spans="1:9" s="1405" customFormat="1" ht="26.25" customHeight="1" thickBot="1">
      <c r="A1" s="1"/>
      <c r="F1" s="121"/>
    </row>
    <row r="2" spans="1:9" ht="25.5" customHeight="1">
      <c r="B2" s="1"/>
      <c r="C2" s="1582" t="s">
        <v>529</v>
      </c>
      <c r="D2" s="1583"/>
      <c r="E2" s="1583"/>
      <c r="F2" s="1584"/>
    </row>
    <row r="3" spans="1:9" ht="26.25" customHeight="1">
      <c r="B3" s="1"/>
      <c r="C3" s="239"/>
      <c r="D3" s="240"/>
      <c r="E3" s="177"/>
      <c r="F3" s="1072"/>
      <c r="I3" s="343"/>
    </row>
    <row r="4" spans="1:9" ht="27.75" customHeight="1">
      <c r="B4" s="1"/>
      <c r="C4" s="1399" t="s">
        <v>77</v>
      </c>
      <c r="D4" s="241" t="s">
        <v>22</v>
      </c>
      <c r="E4" s="244"/>
      <c r="F4" s="1400" t="s">
        <v>78</v>
      </c>
      <c r="G4" s="1"/>
    </row>
    <row r="5" spans="1:9" ht="36.75" customHeight="1">
      <c r="B5" s="1"/>
      <c r="C5" s="403">
        <v>1</v>
      </c>
      <c r="D5" s="242" t="str">
        <f>"Electricity Generation (Conventional Sources) for" &amp;TEXT(TY," mmm-yyyy")&amp;"  (BU)"</f>
        <v>Electricity Generation (Conventional Sources) for Jun-2021  (BU)</v>
      </c>
      <c r="E5" s="245"/>
      <c r="F5" s="1400">
        <v>1</v>
      </c>
      <c r="G5" s="1"/>
    </row>
    <row r="6" spans="1:9" ht="28.5" customHeight="1">
      <c r="B6" s="1"/>
      <c r="C6" s="1399">
        <v>2</v>
      </c>
      <c r="D6" s="242" t="str">
        <f>"Generating Capacity Addition for"&amp;TEXT(TY," mmm-yyyy") &amp;"  (MW)"</f>
        <v>Generating Capacity Addition for Jun-2021  (MW)</v>
      </c>
      <c r="E6" s="245"/>
      <c r="F6" s="1400">
        <v>2</v>
      </c>
      <c r="G6" s="1"/>
    </row>
    <row r="7" spans="1:9" ht="30.75" customHeight="1">
      <c r="B7" s="1"/>
      <c r="C7" s="1399">
        <v>3</v>
      </c>
      <c r="D7" s="242" t="str">
        <f>"List of Projects Commissioned in"&amp;TEXT(TY," mmm-yyyy")</f>
        <v>List of Projects Commissioned in Jun-2021</v>
      </c>
      <c r="E7" s="245"/>
      <c r="F7" s="1400">
        <v>3</v>
      </c>
      <c r="G7" s="1"/>
    </row>
    <row r="8" spans="1:9" ht="27.75" customHeight="1">
      <c r="B8" s="1"/>
      <c r="C8" s="1399">
        <v>4</v>
      </c>
      <c r="D8" s="242" t="str">
        <f>"All India Installed Capacity (MW) Region-wise as on" &amp;TEXT( EOMONTH(TY,0)," dd-mm-yyyy")</f>
        <v>All India Installed Capacity (MW) Region-wise as on 30-06-2021</v>
      </c>
      <c r="E8" s="245"/>
      <c r="F8" s="1400">
        <v>3</v>
      </c>
      <c r="G8" s="1"/>
    </row>
    <row r="9" spans="1:9" ht="27.75" customHeight="1">
      <c r="B9" s="1"/>
      <c r="C9" s="1399">
        <v>5</v>
      </c>
      <c r="D9" s="242" t="str">
        <f>"All India Installed Capacity (MW) Sector-wise as on"&amp;TEXT( EOMONTH(TY,0)," dd-mm-yyyy")</f>
        <v>All India Installed Capacity (MW) Sector-wise as on 30-06-2021</v>
      </c>
      <c r="E9" s="245"/>
      <c r="F9" s="1400">
        <v>4</v>
      </c>
      <c r="G9" s="1"/>
    </row>
    <row r="10" spans="1:9" ht="25.5" customHeight="1">
      <c r="B10" s="1"/>
      <c r="C10" s="1399">
        <v>6</v>
      </c>
      <c r="D10" s="242" t="str">
        <f>"Transmission Lines Added during "&amp;TEXT(TY," mmm-yyyy") &amp;"  (Ckms)"</f>
        <v>Transmission Lines Added during  Jun-2021  (Ckms)</v>
      </c>
      <c r="E10" s="245"/>
      <c r="F10" s="1400">
        <v>5</v>
      </c>
      <c r="G10" s="1"/>
    </row>
    <row r="11" spans="1:9" ht="25.5" customHeight="1">
      <c r="B11" s="1"/>
      <c r="C11" s="1399">
        <v>7</v>
      </c>
      <c r="D11" s="242" t="str">
        <f>"Transformation Capacity Addition during"&amp;TEXT(TY," mmm-yyyy")&amp;"  (MVA)"</f>
        <v>Transformation Capacity Addition during Jun-2021  (MVA)</v>
      </c>
      <c r="E11" s="245"/>
      <c r="F11" s="1400">
        <v>6</v>
      </c>
      <c r="G11" s="1"/>
    </row>
    <row r="12" spans="1:9" ht="27" customHeight="1">
      <c r="B12" s="1"/>
      <c r="C12" s="1399">
        <v>8</v>
      </c>
      <c r="D12" s="242" t="str">
        <f>"Power Supply Position (Energy &amp; Peak) in"&amp;TEXT(TY," mmm-yyyy")</f>
        <v>Power Supply Position (Energy &amp; Peak) in Jun-2021</v>
      </c>
      <c r="E12" s="245"/>
      <c r="F12" s="1400">
        <v>7</v>
      </c>
      <c r="G12" s="1"/>
    </row>
    <row r="13" spans="1:9" ht="29.25" customHeight="1">
      <c r="B13" s="1"/>
      <c r="C13" s="1399">
        <v>9</v>
      </c>
      <c r="D13" s="242" t="s">
        <v>27</v>
      </c>
      <c r="E13" s="245"/>
      <c r="F13" s="313" t="s">
        <v>79</v>
      </c>
      <c r="G13" s="1"/>
    </row>
    <row r="14" spans="1:9" ht="31.5" customHeight="1">
      <c r="B14" s="1"/>
      <c r="C14" s="1399">
        <v>10</v>
      </c>
      <c r="D14" s="242" t="str">
        <f>"All India PLF Sector-wise for"&amp;TEXT(TY," mmm-yyyy")</f>
        <v>All India PLF Sector-wise for Jun-2021</v>
      </c>
      <c r="E14" s="245"/>
      <c r="F14" s="1400">
        <v>10</v>
      </c>
      <c r="G14" s="1"/>
    </row>
    <row r="15" spans="1:9" ht="24" customHeight="1">
      <c r="B15" s="1"/>
      <c r="C15" s="1399">
        <v>11</v>
      </c>
      <c r="D15" s="242" t="s">
        <v>24</v>
      </c>
      <c r="E15" s="245"/>
      <c r="F15" s="1580" t="s">
        <v>80</v>
      </c>
      <c r="G15" s="1"/>
    </row>
    <row r="16" spans="1:9" ht="27.75" customHeight="1">
      <c r="B16" s="1"/>
      <c r="C16" s="1399">
        <v>12</v>
      </c>
      <c r="D16" s="242" t="s">
        <v>760</v>
      </c>
      <c r="E16" s="245"/>
      <c r="F16" s="1580"/>
      <c r="G16" s="1"/>
    </row>
    <row r="17" spans="2:7" ht="29.25" customHeight="1">
      <c r="B17" s="569"/>
      <c r="C17" s="1399">
        <v>13</v>
      </c>
      <c r="D17" s="243" t="s">
        <v>480</v>
      </c>
      <c r="E17" s="245"/>
      <c r="F17" s="1580"/>
      <c r="G17" s="1"/>
    </row>
    <row r="18" spans="2:7" ht="30.75" customHeight="1" thickBot="1">
      <c r="B18" s="1"/>
      <c r="C18" s="1415">
        <v>14</v>
      </c>
      <c r="D18" s="1416" t="s">
        <v>95</v>
      </c>
      <c r="E18" s="1417"/>
      <c r="F18" s="1581"/>
      <c r="G18" s="1"/>
    </row>
    <row r="19" spans="2:7">
      <c r="B19" s="1"/>
      <c r="C19" s="1"/>
      <c r="D19" s="1"/>
      <c r="E19" s="1"/>
      <c r="F19" s="1401"/>
    </row>
    <row r="20" spans="2:7">
      <c r="B20" s="1"/>
      <c r="C20" s="1"/>
      <c r="D20" s="1"/>
      <c r="E20" s="1"/>
      <c r="F20" s="1401"/>
    </row>
    <row r="21" spans="2:7">
      <c r="B21" s="1"/>
      <c r="C21" s="1"/>
      <c r="D21" s="1"/>
      <c r="E21" s="1"/>
      <c r="F21" s="1401"/>
    </row>
    <row r="22" spans="2:7">
      <c r="B22" s="1"/>
      <c r="C22" s="1"/>
      <c r="D22" s="1"/>
      <c r="E22" s="1"/>
      <c r="F22" s="1401"/>
    </row>
    <row r="23" spans="2:7">
      <c r="B23" s="1"/>
      <c r="C23" s="1"/>
      <c r="D23" s="1"/>
      <c r="E23" s="1"/>
      <c r="F23" s="1401"/>
    </row>
    <row r="30" spans="2:7">
      <c r="D30" t="s">
        <v>1018</v>
      </c>
    </row>
    <row r="51" ht="21.75" customHeight="1"/>
    <row r="435" ht="23.25" customHeight="1"/>
  </sheetData>
  <mergeCells count="2">
    <mergeCell ref="F15:F18"/>
    <mergeCell ref="C2:F2"/>
  </mergeCells>
  <phoneticPr fontId="17" type="noConversion"/>
  <printOptions horizontalCentered="1" verticalCentered="1"/>
  <pageMargins left="0.75" right="0.75" top="1" bottom="1" header="0.5" footer="0.5"/>
  <pageSetup scale="6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2060"/>
  </sheetPr>
  <dimension ref="A1:S435"/>
  <sheetViews>
    <sheetView view="pageBreakPreview" topLeftCell="A10" zoomScale="64" zoomScaleNormal="100" zoomScaleSheetLayoutView="64" workbookViewId="0">
      <selection activeCell="J28" sqref="J28"/>
    </sheetView>
  </sheetViews>
  <sheetFormatPr defaultColWidth="9.140625" defaultRowHeight="12.75"/>
  <cols>
    <col min="1" max="1" width="8.28515625" style="1" customWidth="1"/>
    <col min="2" max="2" width="18.140625" style="959" customWidth="1"/>
    <col min="3" max="3" width="8.7109375" style="959" customWidth="1"/>
    <col min="4" max="4" width="13.5703125" style="959" customWidth="1"/>
    <col min="5" max="5" width="10.85546875" style="959" customWidth="1"/>
    <col min="6" max="6" width="9.85546875" style="959" customWidth="1"/>
    <col min="7" max="7" width="16.42578125" style="959" customWidth="1"/>
    <col min="8" max="8" width="13.7109375" style="959" customWidth="1"/>
    <col min="9" max="9" width="4.42578125" style="959" customWidth="1"/>
    <col min="10" max="10" width="3.85546875" customWidth="1"/>
    <col min="11" max="11" width="1.7109375" customWidth="1"/>
  </cols>
  <sheetData>
    <row r="1" spans="1:19" ht="21" customHeight="1">
      <c r="A1" s="1613" t="str">
        <f>"1. Electricity Generation for"&amp;TEXT( TY," mmm-yyyy")&amp;"  (BU)"</f>
        <v>1. Electricity Generation for Jun-2021  (BU)</v>
      </c>
      <c r="B1" s="1614"/>
      <c r="C1" s="1614"/>
      <c r="D1" s="1614"/>
      <c r="E1" s="1614"/>
      <c r="F1" s="1614"/>
      <c r="G1" s="1614"/>
      <c r="H1" s="1614"/>
      <c r="I1" s="1615"/>
      <c r="J1" s="63"/>
    </row>
    <row r="2" spans="1:19" ht="5.25" hidden="1" customHeight="1">
      <c r="A2" s="314"/>
      <c r="B2" s="1627"/>
      <c r="C2" s="1627"/>
      <c r="D2" s="1627"/>
      <c r="E2" s="1627"/>
      <c r="F2" s="1627"/>
      <c r="G2" s="1627"/>
      <c r="H2" s="1628"/>
      <c r="I2" s="1626"/>
      <c r="J2" s="63"/>
    </row>
    <row r="3" spans="1:19" ht="21" customHeight="1">
      <c r="A3" s="314"/>
      <c r="B3" s="1618" t="s">
        <v>483</v>
      </c>
      <c r="C3" s="1620" t="s">
        <v>444</v>
      </c>
      <c r="D3" s="1621"/>
      <c r="E3" s="1622" t="s">
        <v>421</v>
      </c>
      <c r="F3" s="1623"/>
      <c r="G3" s="960" t="s">
        <v>464</v>
      </c>
      <c r="H3" s="1624" t="str">
        <f>"% Change of Achievement  w.r.t."  &amp;TEXT(LY," mmm-yyyy")</f>
        <v>% Change of Achievement  w.r.t. Jun-2020</v>
      </c>
      <c r="I3" s="1626"/>
      <c r="J3" s="34"/>
      <c r="L3" s="43"/>
    </row>
    <row r="4" spans="1:19" ht="22.5" customHeight="1">
      <c r="A4" s="314"/>
      <c r="B4" s="1619"/>
      <c r="C4" s="1616">
        <f>LY</f>
        <v>43983</v>
      </c>
      <c r="D4" s="1617"/>
      <c r="E4" s="1616">
        <f>TY</f>
        <v>44348</v>
      </c>
      <c r="F4" s="1617"/>
      <c r="G4" s="990">
        <f>TY</f>
        <v>44348</v>
      </c>
      <c r="H4" s="1625"/>
      <c r="I4" s="1626"/>
      <c r="J4" s="66"/>
      <c r="L4" s="1"/>
      <c r="M4" s="16"/>
      <c r="N4" s="1"/>
      <c r="O4" s="1"/>
      <c r="P4" s="1"/>
      <c r="Q4" s="1"/>
      <c r="R4" s="1"/>
      <c r="S4" s="1"/>
    </row>
    <row r="5" spans="1:19" ht="12.75" customHeight="1">
      <c r="A5" s="314"/>
      <c r="B5" s="20" t="s">
        <v>405</v>
      </c>
      <c r="C5" s="1585">
        <f>Data!F13/1000</f>
        <v>78.147170000000003</v>
      </c>
      <c r="D5" s="1586"/>
      <c r="E5" s="1585">
        <f>Data!D13/1000</f>
        <v>92.727999999999994</v>
      </c>
      <c r="F5" s="1586"/>
      <c r="G5" s="2">
        <f>Data!E13/1000</f>
        <v>85.478130000000007</v>
      </c>
      <c r="H5" s="961">
        <f>(G5-C5)*100/C5</f>
        <v>9.3809667067918188</v>
      </c>
      <c r="I5" s="1626"/>
      <c r="J5" s="25"/>
      <c r="L5" s="1"/>
      <c r="M5" s="1"/>
      <c r="N5" s="1"/>
      <c r="O5" s="1"/>
      <c r="P5" s="1260"/>
      <c r="Q5" s="1"/>
      <c r="R5" s="1"/>
      <c r="S5" s="1"/>
    </row>
    <row r="6" spans="1:19" s="7" customFormat="1" ht="12.75" customHeight="1">
      <c r="A6" s="314"/>
      <c r="B6" s="20" t="s">
        <v>411</v>
      </c>
      <c r="C6" s="1585">
        <f>Data!F14/1000</f>
        <v>3.7647300000000001</v>
      </c>
      <c r="D6" s="1586"/>
      <c r="E6" s="1585">
        <f>Data!D14/1000</f>
        <v>3.6230000000000002</v>
      </c>
      <c r="F6" s="1586"/>
      <c r="G6" s="1109">
        <f>Data!E14/1000</f>
        <v>3.7934800000000002</v>
      </c>
      <c r="H6" s="961">
        <f>(G6-C6)*100/C6</f>
        <v>0.76366698275839306</v>
      </c>
      <c r="I6" s="1626"/>
      <c r="J6" s="25"/>
      <c r="L6" s="9"/>
      <c r="M6" s="9"/>
      <c r="N6" s="9"/>
      <c r="O6" s="9"/>
      <c r="P6" s="1260"/>
      <c r="Q6" s="9"/>
      <c r="R6" s="9"/>
      <c r="S6" s="9"/>
    </row>
    <row r="7" spans="1:19" ht="12.75" customHeight="1">
      <c r="A7" s="314"/>
      <c r="B7" s="20" t="s">
        <v>407</v>
      </c>
      <c r="C7" s="1585">
        <f>Data!F15/1000</f>
        <v>17.015819999999998</v>
      </c>
      <c r="D7" s="1586"/>
      <c r="E7" s="1585">
        <f>Data!D15/1000</f>
        <v>15.340999999999999</v>
      </c>
      <c r="F7" s="1586"/>
      <c r="G7" s="1109">
        <f>Data!E15/1000</f>
        <v>16.000209999999999</v>
      </c>
      <c r="H7" s="961">
        <f>(G7-C7)*100/C7</f>
        <v>-5.9686221410428582</v>
      </c>
      <c r="I7" s="1626"/>
      <c r="J7" s="25"/>
      <c r="L7" s="1"/>
      <c r="M7" s="1"/>
      <c r="N7" s="1"/>
      <c r="O7" s="1"/>
      <c r="P7" s="1260"/>
      <c r="Q7" s="1"/>
      <c r="R7" s="1"/>
      <c r="S7" s="1"/>
    </row>
    <row r="8" spans="1:19" ht="12.75" customHeight="1">
      <c r="A8" s="314"/>
      <c r="B8" s="4" t="s">
        <v>21</v>
      </c>
      <c r="C8" s="1585">
        <f>Data!F16/1000</f>
        <v>1.2144999999999999</v>
      </c>
      <c r="D8" s="1586"/>
      <c r="E8" s="1585">
        <f>Data!D16/1000</f>
        <v>1.1439999999999999</v>
      </c>
      <c r="F8" s="1586"/>
      <c r="G8" s="1109">
        <f>Data!E16/1000</f>
        <v>1.14574</v>
      </c>
      <c r="H8" s="961">
        <f>(G8-C8)*100/C8</f>
        <v>-5.6615891313297606</v>
      </c>
      <c r="I8" s="1626"/>
      <c r="J8" s="25"/>
      <c r="L8" s="1"/>
      <c r="M8" s="1"/>
      <c r="N8" s="1"/>
      <c r="O8" s="1"/>
      <c r="P8" s="1260"/>
      <c r="Q8" s="1"/>
      <c r="R8" s="1"/>
      <c r="S8" s="1"/>
    </row>
    <row r="9" spans="1:19" ht="12.75" customHeight="1">
      <c r="A9" s="314"/>
      <c r="B9" s="20" t="s">
        <v>433</v>
      </c>
      <c r="C9" s="1606">
        <f>SUM(C5:D8)</f>
        <v>100.14221999999999</v>
      </c>
      <c r="D9" s="1607"/>
      <c r="E9" s="1606">
        <f>E5+E6+E7+E8</f>
        <v>112.836</v>
      </c>
      <c r="F9" s="1607"/>
      <c r="G9" s="848">
        <f>SUM(G5:G8)</f>
        <v>106.41756000000001</v>
      </c>
      <c r="H9" s="961">
        <f>(G9-C9)*100/C9</f>
        <v>6.2664278862601757</v>
      </c>
      <c r="I9" s="1626"/>
      <c r="J9" s="25"/>
      <c r="L9" s="1"/>
      <c r="M9" s="1"/>
      <c r="N9" s="1"/>
      <c r="O9" s="1"/>
      <c r="P9" s="1"/>
      <c r="Q9" s="1"/>
      <c r="R9" s="1"/>
      <c r="S9" s="1"/>
    </row>
    <row r="10" spans="1:19" ht="12.75" customHeight="1">
      <c r="A10" s="314"/>
      <c r="B10" s="1610" t="s">
        <v>1215</v>
      </c>
      <c r="C10" s="1611"/>
      <c r="D10" s="1611"/>
      <c r="E10" s="1611"/>
      <c r="F10" s="1611"/>
      <c r="G10" s="1611"/>
      <c r="H10" s="1612"/>
      <c r="I10" s="1626"/>
      <c r="J10" s="1"/>
      <c r="L10" s="1"/>
      <c r="M10" s="1"/>
      <c r="N10" s="1"/>
      <c r="O10" s="1"/>
      <c r="P10" s="1"/>
      <c r="Q10" s="1"/>
      <c r="R10" s="1"/>
      <c r="S10" s="1"/>
    </row>
    <row r="11" spans="1:19">
      <c r="A11" s="314"/>
      <c r="B11" s="1598"/>
      <c r="C11" s="1598"/>
      <c r="D11" s="1598"/>
      <c r="E11" s="1598"/>
      <c r="F11" s="1598"/>
      <c r="G11" s="1598"/>
      <c r="H11" s="1598"/>
      <c r="I11" s="1591"/>
      <c r="J11" s="1"/>
      <c r="L11" s="1"/>
      <c r="M11" s="1"/>
      <c r="N11" s="1"/>
      <c r="O11" s="1"/>
      <c r="P11" s="1"/>
      <c r="Q11" s="1"/>
      <c r="R11" s="1"/>
      <c r="S11" s="1"/>
    </row>
    <row r="12" spans="1:19">
      <c r="A12" s="314"/>
      <c r="B12" s="1"/>
      <c r="C12" s="1"/>
      <c r="D12" s="1"/>
      <c r="E12" s="1"/>
      <c r="F12" s="1"/>
      <c r="G12" s="1"/>
      <c r="H12" s="1"/>
      <c r="I12" s="1591"/>
      <c r="J12" s="1"/>
      <c r="L12" s="1"/>
      <c r="M12" s="1"/>
      <c r="N12" s="1"/>
      <c r="O12" s="1"/>
      <c r="P12" s="1"/>
      <c r="Q12" s="1"/>
      <c r="R12" s="1"/>
      <c r="S12" s="1"/>
    </row>
    <row r="13" spans="1:19">
      <c r="A13" s="314"/>
      <c r="B13" s="1"/>
      <c r="C13" s="1"/>
      <c r="D13" s="1"/>
      <c r="E13" s="1"/>
      <c r="F13" s="1"/>
      <c r="G13" s="1"/>
      <c r="H13" s="1"/>
      <c r="I13" s="1591"/>
      <c r="J13" s="1"/>
      <c r="L13" s="1"/>
      <c r="M13" s="1"/>
      <c r="N13" s="1"/>
      <c r="O13" s="1"/>
      <c r="P13" s="1"/>
      <c r="Q13" s="1"/>
      <c r="R13" s="1"/>
      <c r="S13" s="1"/>
    </row>
    <row r="14" spans="1:19">
      <c r="A14" s="314"/>
      <c r="B14" s="1"/>
      <c r="C14" s="1"/>
      <c r="D14" s="1"/>
      <c r="E14" s="1"/>
      <c r="F14" s="1"/>
      <c r="G14" s="1"/>
      <c r="H14" s="1"/>
      <c r="I14" s="1591"/>
      <c r="J14" s="1"/>
      <c r="L14" s="1"/>
      <c r="M14" s="1"/>
      <c r="N14" s="1"/>
      <c r="O14" s="1"/>
      <c r="P14" s="1"/>
      <c r="Q14" s="1"/>
      <c r="R14" s="1"/>
      <c r="S14" s="1"/>
    </row>
    <row r="15" spans="1:19">
      <c r="A15" s="314"/>
      <c r="B15" s="1"/>
      <c r="C15" s="1"/>
      <c r="D15" s="1"/>
      <c r="E15" s="1"/>
      <c r="F15" s="1"/>
      <c r="G15" s="1"/>
      <c r="H15" s="1"/>
      <c r="I15" s="1591"/>
      <c r="J15" s="1"/>
      <c r="L15" s="1"/>
      <c r="M15" s="1"/>
      <c r="N15" s="1"/>
      <c r="O15" s="1"/>
      <c r="P15" s="1"/>
      <c r="Q15" s="1"/>
      <c r="R15" s="1"/>
      <c r="S15" s="1"/>
    </row>
    <row r="16" spans="1:19">
      <c r="A16" s="314"/>
      <c r="B16" s="1"/>
      <c r="C16" s="1"/>
      <c r="D16" s="1"/>
      <c r="E16" s="1"/>
      <c r="F16" s="1"/>
      <c r="G16" s="1"/>
      <c r="H16" s="1"/>
      <c r="I16" s="1591"/>
      <c r="J16" s="1"/>
      <c r="L16" s="1"/>
      <c r="M16" s="1"/>
      <c r="N16" s="1"/>
      <c r="O16" s="1"/>
      <c r="P16" s="1"/>
      <c r="Q16" s="1"/>
      <c r="R16" s="1"/>
      <c r="S16" s="1"/>
    </row>
    <row r="17" spans="1:19">
      <c r="A17" s="314"/>
      <c r="B17" s="1"/>
      <c r="C17" s="1"/>
      <c r="D17" s="1"/>
      <c r="E17" s="1"/>
      <c r="F17" s="1"/>
      <c r="G17" s="1"/>
      <c r="H17" s="1"/>
      <c r="I17" s="1591"/>
      <c r="J17" s="1"/>
      <c r="L17" s="1"/>
      <c r="M17" s="1"/>
      <c r="N17" s="1"/>
      <c r="O17" s="1"/>
      <c r="P17" s="1"/>
      <c r="Q17" s="1"/>
      <c r="R17" s="1"/>
      <c r="S17" s="1"/>
    </row>
    <row r="18" spans="1:19" ht="27.75" customHeight="1">
      <c r="A18" s="544"/>
      <c r="B18" s="413"/>
      <c r="C18" s="413"/>
      <c r="D18" s="413"/>
      <c r="E18" s="413"/>
      <c r="F18" s="413"/>
      <c r="G18" s="413"/>
      <c r="H18" s="413"/>
      <c r="I18" s="1591"/>
      <c r="J18" s="413"/>
      <c r="L18" s="1"/>
      <c r="M18" s="1"/>
      <c r="N18" s="1"/>
      <c r="O18" s="1"/>
      <c r="P18" s="1"/>
      <c r="Q18" s="1"/>
      <c r="R18" s="1"/>
      <c r="S18" s="1"/>
    </row>
    <row r="19" spans="1:19">
      <c r="A19" s="314"/>
      <c r="B19" s="1"/>
      <c r="C19" s="1"/>
      <c r="D19" s="1"/>
      <c r="E19" s="1"/>
      <c r="F19" s="1"/>
      <c r="G19" s="1"/>
      <c r="H19" s="1"/>
      <c r="I19" s="1591"/>
      <c r="J19" s="1"/>
      <c r="L19" s="1"/>
      <c r="M19" s="1"/>
      <c r="N19" s="1"/>
      <c r="O19" s="1"/>
      <c r="P19" s="1"/>
      <c r="Q19" s="1"/>
      <c r="R19" s="1"/>
      <c r="S19" s="1"/>
    </row>
    <row r="20" spans="1:19">
      <c r="A20" s="314"/>
      <c r="B20" s="1"/>
      <c r="C20" s="1"/>
      <c r="D20" s="1"/>
      <c r="E20" s="1"/>
      <c r="F20" s="1"/>
      <c r="G20" s="1"/>
      <c r="H20" s="1"/>
      <c r="I20" s="1591"/>
      <c r="J20" s="1"/>
      <c r="L20" s="1"/>
      <c r="M20" s="1"/>
      <c r="N20" s="1"/>
      <c r="O20" s="1"/>
      <c r="P20" s="1"/>
      <c r="Q20" s="1"/>
      <c r="R20" s="1"/>
      <c r="S20" s="1"/>
    </row>
    <row r="21" spans="1:19">
      <c r="A21" s="314"/>
      <c r="B21" s="1"/>
      <c r="C21" s="1"/>
      <c r="D21" s="1"/>
      <c r="E21" s="1"/>
      <c r="F21" s="1"/>
      <c r="G21" s="1"/>
      <c r="H21" s="1"/>
      <c r="I21" s="1591"/>
      <c r="J21" s="1"/>
      <c r="L21" s="1"/>
      <c r="M21" s="1"/>
      <c r="N21" s="1"/>
      <c r="O21" s="1"/>
      <c r="P21" s="1"/>
      <c r="Q21" s="1"/>
      <c r="R21" s="1"/>
      <c r="S21" s="1"/>
    </row>
    <row r="22" spans="1:19">
      <c r="A22" s="314"/>
      <c r="B22" s="1"/>
      <c r="C22" s="1"/>
      <c r="D22" s="1"/>
      <c r="E22" s="1"/>
      <c r="F22" s="1"/>
      <c r="G22" s="1"/>
      <c r="H22" s="1"/>
      <c r="I22" s="1591"/>
      <c r="J22" s="1"/>
      <c r="L22" s="1"/>
      <c r="M22" s="1"/>
      <c r="N22" s="1"/>
      <c r="O22" s="1"/>
      <c r="P22" s="1"/>
      <c r="Q22" s="1"/>
      <c r="R22" s="1"/>
      <c r="S22" s="1"/>
    </row>
    <row r="23" spans="1:19">
      <c r="A23" s="314"/>
      <c r="B23" s="1"/>
      <c r="C23" s="1"/>
      <c r="D23" s="1"/>
      <c r="E23" s="1"/>
      <c r="F23" s="1"/>
      <c r="G23" s="1"/>
      <c r="H23" s="1"/>
      <c r="I23" s="1591"/>
      <c r="J23" s="1"/>
      <c r="L23" s="1"/>
      <c r="M23" s="1"/>
      <c r="N23" s="1"/>
      <c r="O23" s="1"/>
      <c r="P23" s="1"/>
      <c r="Q23" s="1"/>
      <c r="R23" s="1260"/>
      <c r="S23" s="1"/>
    </row>
    <row r="24" spans="1:19">
      <c r="A24" s="314"/>
      <c r="B24" s="1597"/>
      <c r="C24" s="1597"/>
      <c r="D24" s="1597"/>
      <c r="E24" s="1597"/>
      <c r="F24" s="1597"/>
      <c r="G24" s="1597"/>
      <c r="H24" s="1597"/>
      <c r="I24" s="1591"/>
      <c r="J24" s="1"/>
      <c r="L24" s="1"/>
      <c r="M24" s="1"/>
      <c r="N24" s="1"/>
      <c r="O24" s="1"/>
      <c r="P24" s="1"/>
      <c r="Q24" s="1"/>
      <c r="R24" s="1260"/>
      <c r="S24" s="1"/>
    </row>
    <row r="25" spans="1:19" ht="24.75" customHeight="1">
      <c r="A25" s="1594" t="str">
        <f>" Electricity Generation During "  &amp; TEXT(CLY," mmm-yyyy") &amp;" &amp; "  &amp;TEXT(CTY,"  mmm-yyyy") &amp;" (BU)"</f>
        <v xml:space="preserve"> Electricity Generation During Apr-20 to Jun-20 &amp; Apr-21 to Jun-21 (BU)</v>
      </c>
      <c r="B25" s="1595"/>
      <c r="C25" s="1595"/>
      <c r="D25" s="1595"/>
      <c r="E25" s="1595"/>
      <c r="F25" s="1595"/>
      <c r="G25" s="1595"/>
      <c r="H25" s="1595"/>
      <c r="I25" s="1596"/>
      <c r="J25" s="10"/>
      <c r="L25" s="1"/>
      <c r="M25" s="1"/>
      <c r="N25" s="1"/>
      <c r="O25" s="1"/>
      <c r="P25" s="1"/>
      <c r="Q25" s="1"/>
      <c r="R25" s="1260"/>
      <c r="S25" s="1"/>
    </row>
    <row r="26" spans="1:19" ht="4.5" customHeight="1">
      <c r="A26" s="314"/>
      <c r="B26" s="1589"/>
      <c r="C26" s="1589"/>
      <c r="D26" s="1589"/>
      <c r="E26" s="1589"/>
      <c r="F26" s="1589"/>
      <c r="G26" s="1589"/>
      <c r="H26" s="1589"/>
      <c r="I26" s="1590"/>
      <c r="J26" s="16"/>
      <c r="L26" s="1"/>
      <c r="M26" s="1"/>
      <c r="N26" s="1"/>
      <c r="O26" s="1"/>
      <c r="P26" s="1"/>
      <c r="Q26" s="1"/>
      <c r="R26" s="1260"/>
      <c r="S26" s="1"/>
    </row>
    <row r="27" spans="1:19" ht="29.25" customHeight="1">
      <c r="A27" s="314"/>
      <c r="B27" s="960" t="s">
        <v>483</v>
      </c>
      <c r="C27" s="1599" t="str">
        <f>CLY</f>
        <v>Apr-20 to Jun-20</v>
      </c>
      <c r="D27" s="1600"/>
      <c r="E27" s="1601" t="str">
        <f>CTY&amp;"*"</f>
        <v>Apr-21 to Jun-21*</v>
      </c>
      <c r="F27" s="1602"/>
      <c r="G27" s="1592" t="str">
        <f>"% Change w.r.t " &amp;CLY</f>
        <v>% Change w.r.t Apr-20 to Jun-20</v>
      </c>
      <c r="H27" s="1593"/>
      <c r="I27" s="315"/>
      <c r="J27" s="35"/>
      <c r="L27" s="1"/>
      <c r="M27" s="1"/>
      <c r="N27" s="1"/>
      <c r="O27" s="1"/>
      <c r="P27" s="1"/>
      <c r="Q27" s="1"/>
      <c r="R27" s="1"/>
      <c r="S27" s="1"/>
    </row>
    <row r="28" spans="1:19">
      <c r="A28" s="314"/>
      <c r="B28" s="67" t="s">
        <v>405</v>
      </c>
      <c r="C28" s="1585">
        <f>Data!K13/1000</f>
        <v>222.84664000000001</v>
      </c>
      <c r="D28" s="1586"/>
      <c r="E28" s="1585">
        <f>Data!J13/1000</f>
        <v>276.68210999999997</v>
      </c>
      <c r="F28" s="1586"/>
      <c r="G28" s="1587">
        <f>(E28-C28)*100/C28</f>
        <v>24.158080193625516</v>
      </c>
      <c r="H28" s="1588"/>
      <c r="I28" s="316"/>
      <c r="J28" s="36"/>
    </row>
    <row r="29" spans="1:19">
      <c r="A29" s="314"/>
      <c r="B29" s="20" t="s">
        <v>411</v>
      </c>
      <c r="C29" s="1585">
        <f>Data!K14/1000</f>
        <v>11.42235</v>
      </c>
      <c r="D29" s="1586"/>
      <c r="E29" s="1585">
        <f>Data!J14/1000</f>
        <v>11.15737</v>
      </c>
      <c r="F29" s="1586"/>
      <c r="G29" s="1587">
        <f>(E29-C29)*100/C29</f>
        <v>-2.3198378617359787</v>
      </c>
      <c r="H29" s="1588"/>
      <c r="I29" s="316"/>
      <c r="J29" s="36"/>
      <c r="P29" s="541"/>
    </row>
    <row r="30" spans="1:19">
      <c r="A30" s="314"/>
      <c r="B30" s="20" t="s">
        <v>407</v>
      </c>
      <c r="C30" s="1585">
        <f>Data!K15/1000</f>
        <v>41.16337</v>
      </c>
      <c r="D30" s="1586"/>
      <c r="E30" s="1585">
        <f>Data!J15/1000</f>
        <v>36.017830000000004</v>
      </c>
      <c r="F30" s="1586"/>
      <c r="G30" s="1587">
        <f>(E30-C30)*100/C30</f>
        <v>-12.500288484640583</v>
      </c>
      <c r="H30" s="1588"/>
      <c r="I30" s="316"/>
      <c r="J30" s="36"/>
      <c r="M30" s="1"/>
      <c r="N30" s="1"/>
      <c r="O30" s="1"/>
      <c r="P30" s="541"/>
    </row>
    <row r="31" spans="1:19">
      <c r="A31" s="314"/>
      <c r="B31" s="4" t="s">
        <v>21</v>
      </c>
      <c r="C31" s="1585">
        <f>Data!K16/1000</f>
        <v>2.2565</v>
      </c>
      <c r="D31" s="1586"/>
      <c r="E31" s="1585">
        <f>Data!J16/1000</f>
        <v>1.8660399999999999</v>
      </c>
      <c r="F31" s="1586"/>
      <c r="G31" s="1587">
        <f>(E31-C31)*100/C31</f>
        <v>-17.303789053844454</v>
      </c>
      <c r="H31" s="1588"/>
      <c r="I31" s="316"/>
      <c r="J31" s="36"/>
      <c r="M31" s="1"/>
      <c r="N31" s="1"/>
      <c r="O31" s="1"/>
      <c r="P31" s="541"/>
    </row>
    <row r="32" spans="1:19">
      <c r="A32" s="314"/>
      <c r="B32" s="20" t="s">
        <v>433</v>
      </c>
      <c r="C32" s="1606">
        <f>SUM(C28:D31)</f>
        <v>277.68886000000003</v>
      </c>
      <c r="D32" s="1607"/>
      <c r="E32" s="1606">
        <f>SUM(E28:F31)</f>
        <v>325.72334999999998</v>
      </c>
      <c r="F32" s="1607"/>
      <c r="G32" s="1587">
        <f>(E32-C32)*100/C32</f>
        <v>17.297953544121267</v>
      </c>
      <c r="H32" s="1588"/>
      <c r="I32" s="316"/>
      <c r="J32" s="36"/>
      <c r="M32" s="1"/>
      <c r="N32" s="1"/>
      <c r="O32" s="1"/>
      <c r="P32" s="541"/>
    </row>
    <row r="33" spans="1:16" ht="12.75" customHeight="1">
      <c r="A33" s="314"/>
      <c r="B33" s="989" t="s">
        <v>1216</v>
      </c>
      <c r="C33" s="1"/>
      <c r="D33" s="1"/>
      <c r="E33" s="1"/>
      <c r="F33" s="1609"/>
      <c r="G33" s="1609"/>
      <c r="H33" s="1"/>
      <c r="I33" s="316"/>
      <c r="J33" s="1"/>
      <c r="M33" s="1"/>
      <c r="N33" s="1"/>
      <c r="O33" s="1"/>
      <c r="P33" s="541"/>
    </row>
    <row r="34" spans="1:16" ht="13.5" customHeight="1">
      <c r="A34" s="1605"/>
      <c r="B34" s="1608"/>
      <c r="C34" s="1608"/>
      <c r="D34" s="1608"/>
      <c r="E34" s="1608"/>
      <c r="F34" s="1608"/>
      <c r="G34" s="1608"/>
      <c r="H34" s="1608"/>
      <c r="I34" s="316"/>
      <c r="J34" s="1"/>
    </row>
    <row r="35" spans="1:16">
      <c r="A35" s="1605"/>
      <c r="B35" s="1"/>
      <c r="C35" s="1"/>
      <c r="D35" s="1"/>
      <c r="E35" s="1"/>
      <c r="F35" s="1"/>
      <c r="G35" s="1"/>
      <c r="H35" s="1608"/>
      <c r="I35" s="316"/>
      <c r="J35" s="1"/>
    </row>
    <row r="36" spans="1:16">
      <c r="A36" s="1605"/>
      <c r="B36" s="1"/>
      <c r="C36" s="1"/>
      <c r="D36" s="1"/>
      <c r="E36" s="1"/>
      <c r="F36" s="1"/>
      <c r="G36" s="1"/>
      <c r="H36" s="1608"/>
      <c r="I36" s="316"/>
      <c r="J36" s="1"/>
    </row>
    <row r="37" spans="1:16">
      <c r="A37" s="1605"/>
      <c r="B37" s="1"/>
      <c r="C37" s="1"/>
      <c r="D37" s="1"/>
      <c r="E37" s="1"/>
      <c r="F37" s="1"/>
      <c r="G37" s="1"/>
      <c r="H37" s="1608"/>
      <c r="I37" s="316"/>
      <c r="J37" s="1"/>
    </row>
    <row r="38" spans="1:16">
      <c r="A38" s="1605"/>
      <c r="B38" s="1"/>
      <c r="C38" s="1"/>
      <c r="D38" s="1"/>
      <c r="E38" s="1"/>
      <c r="F38" s="1"/>
      <c r="G38" s="1"/>
      <c r="H38" s="1608"/>
      <c r="I38" s="316"/>
      <c r="J38" s="1"/>
    </row>
    <row r="39" spans="1:16">
      <c r="A39" s="1605"/>
      <c r="B39" s="1"/>
      <c r="C39" s="1"/>
      <c r="D39" s="1"/>
      <c r="E39" s="1"/>
      <c r="F39" s="1"/>
      <c r="G39" s="1"/>
      <c r="H39" s="1608"/>
      <c r="I39" s="316"/>
      <c r="J39" s="1"/>
    </row>
    <row r="40" spans="1:16">
      <c r="A40" s="1605"/>
      <c r="B40" s="1"/>
      <c r="C40" s="1"/>
      <c r="D40" s="1"/>
      <c r="E40" s="1"/>
      <c r="F40" s="1"/>
      <c r="G40" s="1"/>
      <c r="H40" s="1608"/>
      <c r="I40" s="316"/>
      <c r="J40" s="1"/>
    </row>
    <row r="41" spans="1:16">
      <c r="A41" s="1605"/>
      <c r="B41" s="1"/>
      <c r="C41" s="1"/>
      <c r="D41" s="1"/>
      <c r="E41" s="1"/>
      <c r="F41" s="1"/>
      <c r="G41" s="1"/>
      <c r="H41" s="1608"/>
      <c r="I41" s="316"/>
      <c r="J41" s="1"/>
    </row>
    <row r="42" spans="1:16">
      <c r="A42" s="1605"/>
      <c r="B42" s="1"/>
      <c r="C42" s="1"/>
      <c r="D42" s="1"/>
      <c r="E42" s="1"/>
      <c r="F42" s="1"/>
      <c r="G42" s="1"/>
      <c r="H42" s="1608"/>
      <c r="I42" s="316"/>
      <c r="J42" s="1"/>
    </row>
    <row r="43" spans="1:16">
      <c r="A43" s="1605"/>
      <c r="B43" s="1"/>
      <c r="C43" s="1"/>
      <c r="D43" s="1"/>
      <c r="E43" s="1"/>
      <c r="F43" s="1"/>
      <c r="G43" s="1"/>
      <c r="H43" s="1608"/>
      <c r="I43" s="316"/>
      <c r="J43" s="1"/>
    </row>
    <row r="44" spans="1:16">
      <c r="A44" s="1605"/>
      <c r="B44" s="1"/>
      <c r="C44" s="1"/>
      <c r="D44" s="1"/>
      <c r="E44" s="1"/>
      <c r="F44" s="1"/>
      <c r="G44" s="1"/>
      <c r="H44" s="1608"/>
      <c r="I44" s="316"/>
      <c r="J44" s="1"/>
    </row>
    <row r="45" spans="1:16">
      <c r="A45" s="1605"/>
      <c r="B45" s="1"/>
      <c r="C45" s="1"/>
      <c r="D45" s="1"/>
      <c r="E45" s="1"/>
      <c r="F45" s="1"/>
      <c r="G45" s="1"/>
      <c r="H45" s="1608"/>
      <c r="I45" s="316"/>
      <c r="J45" s="1"/>
    </row>
    <row r="46" spans="1:16">
      <c r="A46" s="1605"/>
      <c r="B46" s="1"/>
      <c r="C46" s="1"/>
      <c r="D46" s="1"/>
      <c r="E46" s="1"/>
      <c r="F46" s="1"/>
      <c r="G46" s="1"/>
      <c r="H46" s="1608"/>
      <c r="I46" s="316"/>
      <c r="J46" s="1"/>
    </row>
    <row r="47" spans="1:16">
      <c r="A47" s="1605"/>
      <c r="B47" s="1"/>
      <c r="C47" s="1"/>
      <c r="D47" s="1"/>
      <c r="E47" s="1"/>
      <c r="F47" s="1"/>
      <c r="G47" s="1"/>
      <c r="H47" s="1608"/>
      <c r="I47" s="316"/>
      <c r="J47" s="1"/>
    </row>
    <row r="48" spans="1:16">
      <c r="A48" s="1605"/>
      <c r="B48" s="1"/>
      <c r="C48" s="1"/>
      <c r="D48" s="1"/>
      <c r="E48" s="1"/>
      <c r="F48" s="1"/>
      <c r="G48" s="1"/>
      <c r="H48" s="1608"/>
      <c r="I48" s="316"/>
      <c r="J48" s="1"/>
    </row>
    <row r="49" spans="1:10">
      <c r="A49" s="1605"/>
      <c r="B49" s="1"/>
      <c r="C49" s="1"/>
      <c r="D49" s="1"/>
      <c r="E49" s="1"/>
      <c r="F49" s="1"/>
      <c r="G49" s="1"/>
      <c r="H49" s="1608"/>
      <c r="I49" s="316"/>
      <c r="J49" s="1"/>
    </row>
    <row r="50" spans="1:10">
      <c r="A50" s="1605"/>
      <c r="B50" s="1"/>
      <c r="C50" s="1"/>
      <c r="D50" s="1"/>
      <c r="E50" s="1"/>
      <c r="F50" s="1"/>
      <c r="G50" s="1"/>
      <c r="H50" s="1608"/>
      <c r="I50" s="316"/>
      <c r="J50" s="1"/>
    </row>
    <row r="51" spans="1:10" ht="21.75" customHeight="1" thickBot="1">
      <c r="A51" s="1603"/>
      <c r="B51" s="1604"/>
      <c r="C51" s="1604"/>
      <c r="D51" s="1604"/>
      <c r="E51" s="1604"/>
      <c r="F51" s="1604"/>
      <c r="G51" s="1604"/>
      <c r="H51" s="1604"/>
      <c r="I51" s="317" t="s">
        <v>572</v>
      </c>
      <c r="J51" s="1"/>
    </row>
    <row r="435" ht="23.25" customHeight="1"/>
  </sheetData>
  <mergeCells count="48">
    <mergeCell ref="C5:D5"/>
    <mergeCell ref="C28:D28"/>
    <mergeCell ref="A1:I1"/>
    <mergeCell ref="E4:F4"/>
    <mergeCell ref="B3:B4"/>
    <mergeCell ref="C3:D3"/>
    <mergeCell ref="C4:D4"/>
    <mergeCell ref="E3:F3"/>
    <mergeCell ref="H3:H4"/>
    <mergeCell ref="I2:I10"/>
    <mergeCell ref="B2:H2"/>
    <mergeCell ref="E5:F5"/>
    <mergeCell ref="C8:D8"/>
    <mergeCell ref="E6:F6"/>
    <mergeCell ref="E9:F9"/>
    <mergeCell ref="C7:D7"/>
    <mergeCell ref="C6:D6"/>
    <mergeCell ref="E7:F7"/>
    <mergeCell ref="A51:H51"/>
    <mergeCell ref="A34:A50"/>
    <mergeCell ref="G32:H32"/>
    <mergeCell ref="E32:F32"/>
    <mergeCell ref="C32:D32"/>
    <mergeCell ref="H34:H50"/>
    <mergeCell ref="B34:G34"/>
    <mergeCell ref="F33:G33"/>
    <mergeCell ref="C9:D9"/>
    <mergeCell ref="E8:F8"/>
    <mergeCell ref="B10:H10"/>
    <mergeCell ref="E28:F28"/>
    <mergeCell ref="E29:F29"/>
    <mergeCell ref="G28:H28"/>
    <mergeCell ref="B26:I26"/>
    <mergeCell ref="I11:I24"/>
    <mergeCell ref="G27:H27"/>
    <mergeCell ref="A25:I25"/>
    <mergeCell ref="B24:H24"/>
    <mergeCell ref="B11:H11"/>
    <mergeCell ref="C27:D27"/>
    <mergeCell ref="E27:F27"/>
    <mergeCell ref="E30:F30"/>
    <mergeCell ref="E31:F31"/>
    <mergeCell ref="C31:D31"/>
    <mergeCell ref="G29:H29"/>
    <mergeCell ref="C29:D29"/>
    <mergeCell ref="G30:H30"/>
    <mergeCell ref="C30:D30"/>
    <mergeCell ref="G31:H31"/>
  </mergeCells>
  <phoneticPr fontId="17" type="noConversion"/>
  <printOptions horizontalCentered="1" verticalCentered="1"/>
  <pageMargins left="0.75" right="0.75" top="1" bottom="1" header="0.5" footer="0.5"/>
  <pageSetup scale="7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2060"/>
  </sheetPr>
  <dimension ref="A1:P426"/>
  <sheetViews>
    <sheetView view="pageBreakPreview" topLeftCell="A10" zoomScale="53" zoomScaleNormal="33" zoomScaleSheetLayoutView="53" workbookViewId="0">
      <selection activeCell="J28" sqref="J28"/>
    </sheetView>
  </sheetViews>
  <sheetFormatPr defaultColWidth="9.140625" defaultRowHeight="12.75"/>
  <cols>
    <col min="1" max="1" width="9.140625" style="541"/>
    <col min="2" max="2" width="7.140625" style="561" customWidth="1"/>
    <col min="3" max="3" width="27.140625" style="404" customWidth="1"/>
    <col min="4" max="4" width="31.42578125" style="404" customWidth="1"/>
    <col min="5" max="5" width="24.42578125" style="404" customWidth="1"/>
    <col min="6" max="6" width="23.28515625" style="404" customWidth="1"/>
    <col min="7" max="7" width="27.7109375" style="404" customWidth="1"/>
    <col min="8" max="8" width="26.42578125" style="404" customWidth="1"/>
    <col min="9" max="9" width="20.28515625" style="404" customWidth="1"/>
    <col min="10" max="10" width="19.85546875" style="404" customWidth="1"/>
    <col min="11" max="11" width="18.7109375" style="404" customWidth="1"/>
    <col min="12" max="13" width="9.140625" style="404"/>
    <col min="14" max="14" width="43.5703125" style="404" customWidth="1"/>
    <col min="15" max="15" width="24.140625" style="404" customWidth="1"/>
    <col min="16" max="16384" width="9.140625" style="404"/>
  </cols>
  <sheetData>
    <row r="1" spans="2:16" s="561" customFormat="1"/>
    <row r="2" spans="2:16" s="561" customFormat="1" ht="13.5" thickBot="1"/>
    <row r="3" spans="2:16" ht="87.75" customHeight="1">
      <c r="B3" s="1"/>
      <c r="C3" s="1629" t="s">
        <v>1220</v>
      </c>
      <c r="D3" s="1630"/>
      <c r="E3" s="1630"/>
      <c r="F3" s="1630"/>
      <c r="G3" s="1630"/>
      <c r="H3" s="1630"/>
      <c r="I3" s="1630"/>
      <c r="J3" s="1630"/>
      <c r="K3" s="1631"/>
    </row>
    <row r="4" spans="2:16" s="541" customFormat="1" ht="51.75" customHeight="1">
      <c r="B4" s="1073"/>
      <c r="C4" s="1632" t="str">
        <f>TEXT(TY," mmm-yyyy")&amp;"*"</f>
        <v xml:space="preserve"> Jun-2021*</v>
      </c>
      <c r="D4" s="1633"/>
      <c r="E4" s="1633"/>
      <c r="F4" s="1633" t="str">
        <f>TEXT(LY," mmm-yyyy")</f>
        <v xml:space="preserve"> Jun-2020</v>
      </c>
      <c r="G4" s="1633"/>
      <c r="H4" s="1633"/>
      <c r="I4" s="1634" t="s">
        <v>634</v>
      </c>
      <c r="J4" s="1634"/>
      <c r="K4" s="1635"/>
      <c r="P4" s="442"/>
    </row>
    <row r="5" spans="2:16" ht="93">
      <c r="B5" s="1"/>
      <c r="C5" s="1075" t="s">
        <v>728</v>
      </c>
      <c r="D5" s="999" t="s">
        <v>726</v>
      </c>
      <c r="E5" s="999" t="s">
        <v>729</v>
      </c>
      <c r="F5" s="999" t="s">
        <v>635</v>
      </c>
      <c r="G5" s="999" t="s">
        <v>636</v>
      </c>
      <c r="H5" s="999" t="s">
        <v>0</v>
      </c>
      <c r="I5" s="999" t="s">
        <v>637</v>
      </c>
      <c r="J5" s="999" t="s">
        <v>638</v>
      </c>
      <c r="K5" s="1000" t="s">
        <v>639</v>
      </c>
    </row>
    <row r="6" spans="2:16" ht="27" customHeight="1">
      <c r="B6" s="1"/>
      <c r="C6" s="1076" t="s">
        <v>738</v>
      </c>
      <c r="D6" s="1402" t="s">
        <v>738</v>
      </c>
      <c r="E6" s="1402" t="s">
        <v>738</v>
      </c>
      <c r="F6" s="1402" t="s">
        <v>738</v>
      </c>
      <c r="G6" s="1402" t="s">
        <v>738</v>
      </c>
      <c r="H6" s="1402" t="s">
        <v>738</v>
      </c>
      <c r="I6" s="545" t="s">
        <v>640</v>
      </c>
      <c r="J6" s="1402" t="s">
        <v>640</v>
      </c>
      <c r="K6" s="1403" t="s">
        <v>640</v>
      </c>
    </row>
    <row r="7" spans="2:16" ht="30.75" customHeight="1">
      <c r="B7" s="1074"/>
      <c r="C7" s="1077">
        <f>'1A'!G9</f>
        <v>106.41756000000001</v>
      </c>
      <c r="D7" s="956">
        <f>Data!D223/1000</f>
        <v>15.921338226000001</v>
      </c>
      <c r="E7" s="745">
        <f>(C7+D7)</f>
        <v>122.33889822600001</v>
      </c>
      <c r="F7" s="745">
        <f>'1A'!C9</f>
        <v>100.14221999999999</v>
      </c>
      <c r="G7" s="744">
        <f>Data!D224/1000</f>
        <v>14.025409999999999</v>
      </c>
      <c r="H7" s="744">
        <f>(F7+G7)</f>
        <v>114.16762999999999</v>
      </c>
      <c r="I7" s="745">
        <f>(C7-F7)*100/F7</f>
        <v>6.2664278862601757</v>
      </c>
      <c r="J7" s="745">
        <f>(D7-G7)*100/G7</f>
        <v>13.51780964691943</v>
      </c>
      <c r="K7" s="746">
        <f>(E7-H7)*100/H7</f>
        <v>7.1572548418496771</v>
      </c>
    </row>
    <row r="8" spans="2:16" ht="47.25" customHeight="1" thickBot="1">
      <c r="B8" s="1"/>
      <c r="C8" s="1078" t="s">
        <v>727</v>
      </c>
      <c r="D8" s="1"/>
      <c r="E8" s="1"/>
      <c r="F8" s="1"/>
      <c r="G8" s="1"/>
      <c r="H8" s="1"/>
      <c r="I8" s="1"/>
      <c r="J8" s="1"/>
      <c r="K8" s="1406"/>
    </row>
    <row r="9" spans="2:16" s="995" customFormat="1" ht="47.25" customHeight="1">
      <c r="B9" s="1"/>
      <c r="C9" s="1629" t="s">
        <v>1221</v>
      </c>
      <c r="D9" s="1630"/>
      <c r="E9" s="1630"/>
      <c r="F9" s="1630"/>
      <c r="G9" s="1630"/>
      <c r="H9" s="1630"/>
      <c r="I9" s="1630"/>
      <c r="J9" s="1630"/>
      <c r="K9" s="1631"/>
    </row>
    <row r="10" spans="2:16" s="995" customFormat="1" ht="47.25" customHeight="1">
      <c r="B10" s="1"/>
      <c r="C10" s="1632" t="str">
        <f>TEXT(TY," mmm-yyyy")&amp;"*"</f>
        <v xml:space="preserve"> Jun-2021*</v>
      </c>
      <c r="D10" s="1633"/>
      <c r="E10" s="1633"/>
      <c r="F10" s="1633" t="str">
        <f>TEXT(LY," mmm-yyyy")</f>
        <v xml:space="preserve"> Jun-2020</v>
      </c>
      <c r="G10" s="1633"/>
      <c r="H10" s="1633"/>
      <c r="I10" s="1634" t="s">
        <v>634</v>
      </c>
      <c r="J10" s="1634"/>
      <c r="K10" s="1635"/>
    </row>
    <row r="11" spans="2:16" s="995" customFormat="1" ht="147" customHeight="1">
      <c r="B11" s="1"/>
      <c r="C11" s="1075" t="s">
        <v>728</v>
      </c>
      <c r="D11" s="999" t="s">
        <v>726</v>
      </c>
      <c r="E11" s="999" t="s">
        <v>729</v>
      </c>
      <c r="F11" s="999" t="s">
        <v>635</v>
      </c>
      <c r="G11" s="999" t="s">
        <v>636</v>
      </c>
      <c r="H11" s="999" t="s">
        <v>0</v>
      </c>
      <c r="I11" s="999" t="s">
        <v>637</v>
      </c>
      <c r="J11" s="999" t="s">
        <v>638</v>
      </c>
      <c r="K11" s="1000" t="s">
        <v>639</v>
      </c>
    </row>
    <row r="12" spans="2:16" s="995" customFormat="1" ht="47.25" customHeight="1">
      <c r="B12" s="1"/>
      <c r="C12" s="1076" t="s">
        <v>738</v>
      </c>
      <c r="D12" s="1402" t="s">
        <v>738</v>
      </c>
      <c r="E12" s="1402" t="s">
        <v>738</v>
      </c>
      <c r="F12" s="1402" t="s">
        <v>738</v>
      </c>
      <c r="G12" s="1402" t="s">
        <v>738</v>
      </c>
      <c r="H12" s="1402" t="s">
        <v>738</v>
      </c>
      <c r="I12" s="545" t="s">
        <v>640</v>
      </c>
      <c r="J12" s="1402" t="s">
        <v>640</v>
      </c>
      <c r="K12" s="1403" t="s">
        <v>640</v>
      </c>
    </row>
    <row r="13" spans="2:16" s="995" customFormat="1" ht="47.25" customHeight="1">
      <c r="B13" s="1"/>
      <c r="C13" s="1077">
        <f>C7-'1A'!G7</f>
        <v>90.417350000000013</v>
      </c>
      <c r="D13" s="956">
        <f>D7+'1A'!G7</f>
        <v>31.921548225999999</v>
      </c>
      <c r="E13" s="745">
        <f>(C13+D13)</f>
        <v>122.33889822600001</v>
      </c>
      <c r="F13" s="745">
        <f>F7-'1A'!C7</f>
        <v>83.12639999999999</v>
      </c>
      <c r="G13" s="744">
        <f>G7+'1A'!C7</f>
        <v>31.041229999999999</v>
      </c>
      <c r="H13" s="744">
        <f>(F13+G13)</f>
        <v>114.16762999999999</v>
      </c>
      <c r="I13" s="745">
        <f>(C13-F13)*100/F13</f>
        <v>8.7709199484159353</v>
      </c>
      <c r="J13" s="745">
        <f>(D13-G13)*100/G13</f>
        <v>2.8359643802774568</v>
      </c>
      <c r="K13" s="746">
        <f>(E13-H13)*100/H13</f>
        <v>7.1572548418496771</v>
      </c>
    </row>
    <row r="14" spans="2:16" s="995" customFormat="1" ht="47.25" customHeight="1">
      <c r="B14" s="1"/>
      <c r="C14" s="1078" t="s">
        <v>727</v>
      </c>
      <c r="D14" s="997"/>
      <c r="E14" s="997"/>
      <c r="F14" s="996"/>
      <c r="G14" s="997"/>
      <c r="H14" s="997"/>
      <c r="I14" s="996"/>
      <c r="J14" s="996"/>
      <c r="K14" s="998"/>
    </row>
    <row r="15" spans="2:16" s="995" customFormat="1" ht="44.25" customHeight="1">
      <c r="B15" s="1"/>
      <c r="C15" s="14"/>
      <c r="D15" s="1"/>
      <c r="E15" s="1"/>
      <c r="F15" s="1"/>
      <c r="G15" s="1"/>
      <c r="H15" s="1"/>
      <c r="I15" s="1"/>
      <c r="J15" s="1"/>
      <c r="K15" s="1406"/>
    </row>
    <row r="16" spans="2:16" ht="33" customHeight="1">
      <c r="B16" s="1"/>
      <c r="C16" s="1637" t="s">
        <v>750</v>
      </c>
      <c r="D16" s="1638"/>
      <c r="E16" s="1638"/>
      <c r="F16" s="1638"/>
      <c r="G16" s="1638"/>
      <c r="H16" s="1638"/>
      <c r="I16" s="1"/>
      <c r="J16" s="1"/>
      <c r="K16" s="1639"/>
    </row>
    <row r="17" spans="2:15" ht="69.75">
      <c r="B17" s="1"/>
      <c r="C17" s="1079" t="s">
        <v>721</v>
      </c>
      <c r="D17" s="741" t="s">
        <v>722</v>
      </c>
      <c r="E17" s="1636" t="s">
        <v>642</v>
      </c>
      <c r="F17" s="1636"/>
      <c r="G17" s="1636" t="s">
        <v>723</v>
      </c>
      <c r="H17" s="1636"/>
      <c r="I17" s="1"/>
      <c r="J17" s="1"/>
      <c r="K17" s="1591"/>
    </row>
    <row r="18" spans="2:15" ht="23.25">
      <c r="B18" s="1"/>
      <c r="C18" s="1080"/>
      <c r="D18" s="742"/>
      <c r="E18" s="994" t="str">
        <f>TEXT(BTY," mmm-yyyy")</f>
        <v xml:space="preserve"> May-2021</v>
      </c>
      <c r="F18" s="994" t="str">
        <f>TEXT(BLY," mmm-yyyy")</f>
        <v xml:space="preserve"> May-2020</v>
      </c>
      <c r="G18" s="994" t="str">
        <f>BCTY</f>
        <v>Apr-21 to May-21</v>
      </c>
      <c r="H18" s="994" t="str">
        <f>BCLY</f>
        <v>Apr-20 to May-20</v>
      </c>
      <c r="I18" s="1"/>
      <c r="J18" s="1"/>
      <c r="K18" s="1406"/>
    </row>
    <row r="19" spans="2:15" ht="25.5">
      <c r="B19" s="1"/>
      <c r="C19" s="1081">
        <v>1</v>
      </c>
      <c r="D19" s="957" t="s">
        <v>643</v>
      </c>
      <c r="E19" s="993">
        <f>Data!D243</f>
        <v>7083.5195000000003</v>
      </c>
      <c r="F19" s="993">
        <f>Data!C243</f>
        <v>6237.8894659420002</v>
      </c>
      <c r="G19" s="993">
        <f>Data!G243</f>
        <v>10817.898499999999</v>
      </c>
      <c r="H19" s="993">
        <f>Data!F243</f>
        <v>9711.7538349419992</v>
      </c>
      <c r="I19" s="1"/>
      <c r="J19" s="1"/>
      <c r="K19" s="1406"/>
      <c r="N19" s="883"/>
      <c r="O19" s="883"/>
    </row>
    <row r="20" spans="2:15" ht="25.5">
      <c r="B20" s="1"/>
      <c r="C20" s="1081">
        <v>2</v>
      </c>
      <c r="D20" s="957" t="s">
        <v>724</v>
      </c>
      <c r="E20" s="993">
        <f>Data!D244</f>
        <v>5994.6585769999992</v>
      </c>
      <c r="F20" s="993">
        <f>Data!C244</f>
        <v>5618.2919620000002</v>
      </c>
      <c r="G20" s="993">
        <f>Data!G244</f>
        <v>12116.838576999999</v>
      </c>
      <c r="H20" s="993">
        <f>Data!F244</f>
        <v>10971.742833650002</v>
      </c>
      <c r="I20" s="1"/>
      <c r="J20" s="563"/>
      <c r="K20" s="1406"/>
      <c r="N20" s="883"/>
      <c r="O20" s="883"/>
    </row>
    <row r="21" spans="2:15" ht="25.5">
      <c r="B21" s="1"/>
      <c r="C21" s="1081">
        <v>3</v>
      </c>
      <c r="D21" s="957" t="s">
        <v>644</v>
      </c>
      <c r="E21" s="993">
        <f>Data!D245</f>
        <v>301.69633599999997</v>
      </c>
      <c r="F21" s="993">
        <f>Data!C245</f>
        <v>313.23258199999998</v>
      </c>
      <c r="G21" s="993">
        <f>Data!G245</f>
        <v>590.61530849999997</v>
      </c>
      <c r="H21" s="993">
        <f>Data!F245</f>
        <v>583.20268099999998</v>
      </c>
      <c r="I21" s="1"/>
      <c r="J21" s="1"/>
      <c r="K21" s="1406"/>
      <c r="N21" s="883" t="str">
        <f>+CTY</f>
        <v>Apr-21 to Jun-21</v>
      </c>
      <c r="O21" s="883"/>
    </row>
    <row r="22" spans="2:15" ht="25.5">
      <c r="B22" s="1"/>
      <c r="C22" s="1081">
        <v>4</v>
      </c>
      <c r="D22" s="957" t="s">
        <v>645</v>
      </c>
      <c r="E22" s="993">
        <f>Data!D246</f>
        <v>404.37299999999999</v>
      </c>
      <c r="F22" s="993">
        <f>Data!C246</f>
        <v>611.55046000000004</v>
      </c>
      <c r="G22" s="993">
        <f>Data!G246</f>
        <v>1288.4496940000001</v>
      </c>
      <c r="H22" s="993">
        <f>Data!F246</f>
        <v>1499.723</v>
      </c>
      <c r="I22" s="1"/>
      <c r="J22" s="1"/>
      <c r="K22" s="1406"/>
      <c r="N22" s="883">
        <f>(G25/1000)+D7</f>
        <v>42.08587338868</v>
      </c>
      <c r="O22" s="883"/>
    </row>
    <row r="23" spans="2:15" ht="25.5">
      <c r="B23" s="1"/>
      <c r="C23" s="1081">
        <v>5</v>
      </c>
      <c r="D23" s="957" t="s">
        <v>646</v>
      </c>
      <c r="E23" s="993">
        <f>Data!D247</f>
        <v>554.67008999999996</v>
      </c>
      <c r="F23" s="993">
        <f>Data!C247</f>
        <v>767.18749500000013</v>
      </c>
      <c r="G23" s="993">
        <f>Data!G247</f>
        <v>994.69037318000005</v>
      </c>
      <c r="H23" s="993">
        <f>Data!F247</f>
        <v>1460.7918020000002</v>
      </c>
      <c r="I23" s="1"/>
      <c r="J23" s="1"/>
      <c r="K23" s="1406"/>
      <c r="N23" s="883"/>
      <c r="O23" s="883"/>
    </row>
    <row r="24" spans="2:15" ht="25.5">
      <c r="B24" s="1"/>
      <c r="C24" s="1081">
        <v>6</v>
      </c>
      <c r="D24" s="957" t="s">
        <v>647</v>
      </c>
      <c r="E24" s="993">
        <f>Data!D248</f>
        <v>176.6908</v>
      </c>
      <c r="F24" s="993">
        <f>Data!C248</f>
        <v>36.470780000000005</v>
      </c>
      <c r="G24" s="993">
        <f>Data!G248</f>
        <v>356.04270999999994</v>
      </c>
      <c r="H24" s="993">
        <f>Data!F248</f>
        <v>69.736850000000004</v>
      </c>
      <c r="I24" s="1"/>
      <c r="J24" s="1"/>
      <c r="K24" s="1406"/>
      <c r="N24" s="883"/>
      <c r="O24" s="883"/>
    </row>
    <row r="25" spans="2:15" ht="25.5">
      <c r="B25" s="1"/>
      <c r="C25" s="1080"/>
      <c r="D25" s="743" t="s">
        <v>725</v>
      </c>
      <c r="E25" s="958">
        <f>SUM(E19:E24)</f>
        <v>14515.608303000001</v>
      </c>
      <c r="F25" s="958">
        <f>SUM(F19:F24)</f>
        <v>13584.622744942</v>
      </c>
      <c r="G25" s="958">
        <f t="shared" ref="G25:H25" si="0">SUM(G19:G24)</f>
        <v>26164.53516268</v>
      </c>
      <c r="H25" s="958">
        <f t="shared" si="0"/>
        <v>24296.951001592002</v>
      </c>
      <c r="I25" s="1"/>
      <c r="J25" s="1"/>
      <c r="K25" s="1406"/>
      <c r="N25" s="883"/>
      <c r="O25" s="883"/>
    </row>
    <row r="26" spans="2:15" ht="25.5">
      <c r="B26" s="1"/>
      <c r="C26" s="14"/>
      <c r="D26" s="1"/>
      <c r="E26" s="1"/>
      <c r="F26" s="1"/>
      <c r="G26" s="1"/>
      <c r="H26" s="893"/>
      <c r="I26" s="1"/>
      <c r="J26" s="1"/>
      <c r="K26" s="1406"/>
      <c r="N26" s="883"/>
    </row>
    <row r="27" spans="2:15" ht="26.25" thickBot="1">
      <c r="B27" s="1001"/>
      <c r="C27" s="1082" t="s">
        <v>2007</v>
      </c>
      <c r="D27" s="18"/>
      <c r="E27" s="18"/>
      <c r="F27" s="1083"/>
      <c r="G27" s="1084"/>
      <c r="H27" s="1085"/>
      <c r="I27" s="18"/>
      <c r="J27" s="18"/>
      <c r="K27" s="1418" t="s">
        <v>641</v>
      </c>
      <c r="N27" s="883"/>
    </row>
    <row r="42" ht="21.75" customHeight="1"/>
    <row r="426" ht="23.25" customHeight="1"/>
  </sheetData>
  <mergeCells count="12">
    <mergeCell ref="C3:K3"/>
    <mergeCell ref="C4:E4"/>
    <mergeCell ref="F4:H4"/>
    <mergeCell ref="I4:K4"/>
    <mergeCell ref="E17:F17"/>
    <mergeCell ref="G17:H17"/>
    <mergeCell ref="C16:H16"/>
    <mergeCell ref="K16:K17"/>
    <mergeCell ref="C10:E10"/>
    <mergeCell ref="F10:H10"/>
    <mergeCell ref="I10:K10"/>
    <mergeCell ref="C9:K9"/>
  </mergeCells>
  <conditionalFormatting sqref="C27">
    <cfRule type="cellIs" dxfId="21" priority="6" operator="equal">
      <formula>0</formula>
    </cfRule>
  </conditionalFormatting>
  <conditionalFormatting sqref="B27">
    <cfRule type="cellIs" dxfId="20" priority="5" operator="equal">
      <formula>0</formula>
    </cfRule>
  </conditionalFormatting>
  <printOptions horizontalCentered="1" verticalCentered="1"/>
  <pageMargins left="0.75" right="0.75" top="1" bottom="1" header="0.5" footer="0.5"/>
  <pageSetup scale="37" fitToHeight="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2060"/>
  </sheetPr>
  <dimension ref="A1:N436"/>
  <sheetViews>
    <sheetView view="pageBreakPreview" topLeftCell="A13" zoomScale="64" zoomScaleNormal="100" zoomScaleSheetLayoutView="64" workbookViewId="0">
      <selection activeCell="J28" sqref="J28"/>
    </sheetView>
  </sheetViews>
  <sheetFormatPr defaultRowHeight="12.75"/>
  <cols>
    <col min="1" max="1" width="1.7109375" customWidth="1"/>
    <col min="2" max="2" width="4.42578125" customWidth="1"/>
    <col min="3" max="3" width="11" customWidth="1"/>
    <col min="4" max="4" width="22.28515625" customWidth="1"/>
    <col min="5" max="5" width="23.28515625" customWidth="1"/>
    <col min="6" max="6" width="29.28515625" customWidth="1"/>
    <col min="7" max="7" width="17.28515625" customWidth="1"/>
    <col min="8" max="8" width="6.140625" style="1" customWidth="1"/>
  </cols>
  <sheetData>
    <row r="1" spans="1:12" s="1405" customFormat="1" ht="13.5" thickBot="1">
      <c r="H1" s="1"/>
    </row>
    <row r="2" spans="1:12" ht="24.75" customHeight="1">
      <c r="A2" s="1"/>
      <c r="B2" s="1640" t="str">
        <f>"2.  Generating Capacity Addition for" &amp;TEXT(TY," mmm-yyyy")&amp;" (MW)"</f>
        <v>2.  Generating Capacity Addition for Jun-2021 (MW)</v>
      </c>
      <c r="C2" s="1641"/>
      <c r="D2" s="1641"/>
      <c r="E2" s="1641"/>
      <c r="F2" s="1641"/>
      <c r="G2" s="1642"/>
    </row>
    <row r="3" spans="1:12" ht="8.25" customHeight="1">
      <c r="B3" s="14"/>
      <c r="C3" s="200"/>
      <c r="D3" s="1"/>
      <c r="E3" s="1"/>
      <c r="F3" s="1"/>
      <c r="G3" s="1406"/>
    </row>
    <row r="4" spans="1:12">
      <c r="B4" s="14"/>
      <c r="C4" s="1649" t="s">
        <v>483</v>
      </c>
      <c r="D4" s="1003" t="s">
        <v>444</v>
      </c>
      <c r="E4" s="1003" t="s">
        <v>421</v>
      </c>
      <c r="F4" s="1003" t="s">
        <v>444</v>
      </c>
      <c r="G4" s="1647" t="str">
        <f>"% Achivement w.r.t. " &amp;TEXT(LY," mmm-yyyy")</f>
        <v>% Achivement w.r.t.  Jun-2020</v>
      </c>
    </row>
    <row r="5" spans="1:12">
      <c r="B5" s="14"/>
      <c r="C5" s="1649"/>
      <c r="D5" s="64">
        <f>LY</f>
        <v>43983</v>
      </c>
      <c r="E5" s="1616">
        <f>TY</f>
        <v>44348</v>
      </c>
      <c r="F5" s="1617"/>
      <c r="G5" s="1648"/>
    </row>
    <row r="6" spans="1:12" ht="15">
      <c r="B6" s="14"/>
      <c r="C6" s="20" t="s">
        <v>405</v>
      </c>
      <c r="D6" s="1318">
        <v>270</v>
      </c>
      <c r="E6" s="1012">
        <f>VLOOKUP(TY,Data!$BA$282:$BJ$296,3,FALSE)+VLOOKUP(TY,Data!$BA$282:$BJ$296,4,FALSE)+VLOOKUP(TY,Data!$BA$282:$BJ$296,5,FALSE)</f>
        <v>660</v>
      </c>
      <c r="F6" s="1012">
        <f>VLOOKUP(TY,Data!$BA$282:$BS$296,11,FALSE)+VLOOKUP(TY,Data!$BA$282:$BS$296,12,FALSE)+VLOOKUP(TY,Data!$BA$282:$BS$296,13,FALSE)</f>
        <v>0</v>
      </c>
      <c r="G6" s="1419">
        <f>IFERROR((F6-D6)/D6*100,"NA")</f>
        <v>-100</v>
      </c>
    </row>
    <row r="7" spans="1:12" ht="15">
      <c r="B7" s="14"/>
      <c r="C7" s="20" t="s">
        <v>407</v>
      </c>
      <c r="D7" s="832">
        <v>0</v>
      </c>
      <c r="E7" s="1012">
        <f>VLOOKUP(TY,Data!$BA$282:$BJ$296,6,FALSE)+VLOOKUP(TY,Data!$BA$282:$BJ$296,7,FALSE)+VLOOKUP(TY,Data!$BA$282:$BJ$296,8,FALSE)</f>
        <v>0</v>
      </c>
      <c r="F7" s="1012">
        <f>VLOOKUP(TY,Data!$BA$282:$BS$296,14,FALSE)+VLOOKUP(TY,Data!$BA$282:$BS$296,15,FALSE)+VLOOKUP(TY,Data!$BA$282:$BS$296,16,FALSE)</f>
        <v>112.97799999999999</v>
      </c>
      <c r="G7" s="1419" t="str">
        <f t="shared" ref="G7:G9" si="0">IFERROR((F7-D7)/D7*100,"NA")</f>
        <v>NA</v>
      </c>
    </row>
    <row r="8" spans="1:12" ht="15">
      <c r="B8" s="14"/>
      <c r="C8" s="20" t="s">
        <v>411</v>
      </c>
      <c r="D8" s="832">
        <v>0</v>
      </c>
      <c r="E8" s="1012">
        <f>VLOOKUP(TY,Data!$BA$282:$BJ$296,9,FALSE)</f>
        <v>0</v>
      </c>
      <c r="F8" s="1012">
        <f>VLOOKUP(TY,Data!$BA$282:$BS$296,17,FALSE)</f>
        <v>0</v>
      </c>
      <c r="G8" s="1419" t="str">
        <f t="shared" si="0"/>
        <v>NA</v>
      </c>
      <c r="K8" s="1110"/>
    </row>
    <row r="9" spans="1:12">
      <c r="B9" s="14"/>
      <c r="C9" s="20" t="s">
        <v>433</v>
      </c>
      <c r="D9" s="1003">
        <f>(D6+D7+D8)</f>
        <v>270</v>
      </c>
      <c r="E9" s="137">
        <f>SUM(E6:E8)</f>
        <v>660</v>
      </c>
      <c r="F9" s="137">
        <f>SUM(F6:F8)</f>
        <v>112.97799999999999</v>
      </c>
      <c r="G9" s="1419">
        <f t="shared" si="0"/>
        <v>-58.156296296296297</v>
      </c>
      <c r="I9" s="123"/>
      <c r="K9" s="728"/>
    </row>
    <row r="10" spans="1:12" ht="25.5" customHeight="1">
      <c r="B10" s="14"/>
      <c r="C10" s="1645" t="s">
        <v>887</v>
      </c>
      <c r="D10" s="1645"/>
      <c r="E10" s="1645"/>
      <c r="F10" s="1645"/>
      <c r="G10" s="1646"/>
      <c r="I10" s="123"/>
      <c r="L10" s="12"/>
    </row>
    <row r="11" spans="1:12" s="1" customFormat="1" ht="12.75" customHeight="1">
      <c r="B11" s="14"/>
      <c r="G11" s="1406"/>
    </row>
    <row r="12" spans="1:12" s="1" customFormat="1" ht="58.5" customHeight="1">
      <c r="B12" s="14"/>
      <c r="G12" s="1406"/>
    </row>
    <row r="13" spans="1:12" s="1" customFormat="1" ht="15.75" customHeight="1">
      <c r="B13" s="14"/>
      <c r="G13" s="1406"/>
    </row>
    <row r="14" spans="1:12" s="1" customFormat="1">
      <c r="B14" s="14"/>
      <c r="G14" s="1406"/>
    </row>
    <row r="15" spans="1:12" s="1" customFormat="1">
      <c r="B15" s="14"/>
      <c r="G15" s="1406"/>
    </row>
    <row r="16" spans="1:12" s="1" customFormat="1">
      <c r="B16" s="14"/>
      <c r="G16" s="1406"/>
    </row>
    <row r="17" spans="1:14">
      <c r="A17" s="1"/>
      <c r="B17" s="14"/>
      <c r="C17" s="1"/>
      <c r="D17" s="1"/>
      <c r="E17" s="1"/>
      <c r="F17" s="1"/>
      <c r="G17" s="1406"/>
    </row>
    <row r="18" spans="1:14">
      <c r="A18" s="1"/>
      <c r="B18" s="14"/>
      <c r="C18" s="1"/>
      <c r="D18" s="1"/>
      <c r="E18" s="1"/>
      <c r="F18" s="1"/>
      <c r="G18" s="1406"/>
    </row>
    <row r="19" spans="1:14" ht="41.25" customHeight="1">
      <c r="A19" s="412">
        <v>43252</v>
      </c>
      <c r="B19" s="421"/>
      <c r="C19" s="413"/>
      <c r="D19" s="413"/>
      <c r="E19" s="413"/>
      <c r="F19" s="413"/>
      <c r="G19" s="416"/>
      <c r="H19" s="413"/>
      <c r="I19" s="411"/>
      <c r="J19" s="411"/>
    </row>
    <row r="20" spans="1:14">
      <c r="A20" s="1"/>
      <c r="B20" s="14"/>
      <c r="C20" s="1"/>
      <c r="D20" s="1"/>
      <c r="E20" s="1"/>
      <c r="F20" s="1"/>
      <c r="G20" s="1406"/>
    </row>
    <row r="21" spans="1:14">
      <c r="A21" s="1"/>
      <c r="B21" s="14"/>
      <c r="C21" s="1"/>
      <c r="D21" s="1"/>
      <c r="E21" s="1"/>
      <c r="F21" s="1"/>
      <c r="G21" s="1406"/>
    </row>
    <row r="22" spans="1:14">
      <c r="A22" s="1"/>
      <c r="B22" s="14"/>
      <c r="C22" s="1"/>
      <c r="D22" s="1"/>
      <c r="E22" s="1"/>
      <c r="F22" s="1"/>
      <c r="G22" s="1406"/>
    </row>
    <row r="23" spans="1:14">
      <c r="A23" s="1"/>
      <c r="B23" s="14"/>
      <c r="C23" s="1"/>
      <c r="D23" s="1"/>
      <c r="E23" s="1"/>
      <c r="F23" s="1"/>
      <c r="G23" s="1406"/>
    </row>
    <row r="24" spans="1:14">
      <c r="A24" s="1"/>
      <c r="B24" s="14"/>
      <c r="C24" s="1"/>
      <c r="D24" s="1"/>
      <c r="E24" s="1"/>
      <c r="F24" s="1"/>
      <c r="G24" s="1406"/>
    </row>
    <row r="25" spans="1:14">
      <c r="B25" s="14"/>
      <c r="C25" s="1"/>
      <c r="D25" s="1"/>
      <c r="E25" s="1"/>
      <c r="F25" s="1"/>
      <c r="G25" s="1406"/>
    </row>
    <row r="26" spans="1:14">
      <c r="B26" s="14"/>
      <c r="C26" s="1"/>
      <c r="D26" s="1"/>
      <c r="E26" s="1"/>
      <c r="F26" s="1"/>
      <c r="G26" s="217"/>
    </row>
    <row r="27" spans="1:14" ht="21" customHeight="1">
      <c r="B27" s="1594" t="str">
        <f>"Generating Capacity Addition during "  &amp;TEXT(CLY," mmm-yyyy") &amp; " &amp; "  &amp;TEXT(CTY," mmm-yyyy")</f>
        <v>Generating Capacity Addition during Apr-20 to Jun-20 &amp; Apr-21 to Jun-21</v>
      </c>
      <c r="C27" s="1643"/>
      <c r="D27" s="1643"/>
      <c r="E27" s="1643"/>
      <c r="F27" s="1643"/>
      <c r="G27" s="1644"/>
    </row>
    <row r="28" spans="1:14">
      <c r="B28" s="14"/>
      <c r="C28" s="142"/>
      <c r="D28" s="142"/>
      <c r="E28" s="142"/>
      <c r="F28" s="142"/>
      <c r="G28" s="1406"/>
    </row>
    <row r="29" spans="1:14">
      <c r="B29" s="14"/>
      <c r="C29" s="140"/>
      <c r="D29" s="263" t="str">
        <f>CLY</f>
        <v>Apr-20 to Jun-20</v>
      </c>
      <c r="E29" s="141" t="str">
        <f>CTY</f>
        <v>Apr-21 to Jun-21</v>
      </c>
      <c r="F29" s="1410" t="s">
        <v>895</v>
      </c>
      <c r="G29" s="1406"/>
      <c r="N29" s="123"/>
    </row>
    <row r="30" spans="1:14">
      <c r="B30" s="14"/>
      <c r="C30" s="20" t="s">
        <v>405</v>
      </c>
      <c r="D30" s="955">
        <v>306.14999999999998</v>
      </c>
      <c r="E30" s="928">
        <f>SUM(Data!BK296:BM296)</f>
        <v>0</v>
      </c>
      <c r="F30" s="1115">
        <f>IFERROR((E30-D30)/D30*100,"NA")</f>
        <v>-100</v>
      </c>
      <c r="G30" s="1406"/>
      <c r="K30" s="840"/>
    </row>
    <row r="31" spans="1:14">
      <c r="B31" s="14"/>
      <c r="C31" s="20" t="s">
        <v>407</v>
      </c>
      <c r="D31" s="955">
        <v>0</v>
      </c>
      <c r="E31" s="955">
        <f>SUM(Data!BN296:BP296)</f>
        <v>112.97799999999999</v>
      </c>
      <c r="F31" s="1115" t="str">
        <f t="shared" ref="F31:F33" si="1">IFERROR((E31-D31)/D31*100,"NA")</f>
        <v>NA</v>
      </c>
      <c r="G31" s="1406"/>
    </row>
    <row r="32" spans="1:14">
      <c r="B32" s="14"/>
      <c r="C32" s="20" t="s">
        <v>411</v>
      </c>
      <c r="D32" s="955">
        <v>0</v>
      </c>
      <c r="E32" s="955">
        <f>Data!BQ296</f>
        <v>0</v>
      </c>
      <c r="F32" s="1115" t="str">
        <f t="shared" si="1"/>
        <v>NA</v>
      </c>
      <c r="G32" s="1406"/>
    </row>
    <row r="33" spans="2:11">
      <c r="B33" s="14"/>
      <c r="C33" s="20" t="s">
        <v>433</v>
      </c>
      <c r="D33" s="966">
        <f>SUM(D30:D32)</f>
        <v>306.14999999999998</v>
      </c>
      <c r="E33" s="966">
        <f>SUM(E30:E32)</f>
        <v>112.97799999999999</v>
      </c>
      <c r="F33" s="1115">
        <f t="shared" si="1"/>
        <v>-63.097174587620444</v>
      </c>
      <c r="G33" s="1406"/>
    </row>
    <row r="34" spans="2:11" ht="16.5" customHeight="1">
      <c r="B34" s="14"/>
      <c r="C34" s="9" t="s">
        <v>887</v>
      </c>
      <c r="D34" s="26"/>
      <c r="E34" s="1"/>
      <c r="F34" s="1"/>
      <c r="G34" s="1406"/>
      <c r="K34" s="829"/>
    </row>
    <row r="35" spans="2:11">
      <c r="B35" s="14"/>
      <c r="C35" s="1"/>
      <c r="D35" s="1"/>
      <c r="E35" s="1"/>
      <c r="F35" s="1"/>
      <c r="G35" s="1406"/>
    </row>
    <row r="36" spans="2:11">
      <c r="B36" s="14"/>
      <c r="C36" s="1"/>
      <c r="D36" s="1"/>
      <c r="E36" s="1"/>
      <c r="F36" s="1"/>
      <c r="G36" s="1406"/>
    </row>
    <row r="37" spans="2:11">
      <c r="B37" s="14"/>
      <c r="C37" s="1"/>
      <c r="D37" s="1"/>
      <c r="E37" s="1"/>
      <c r="F37" s="1"/>
      <c r="G37" s="1406"/>
    </row>
    <row r="38" spans="2:11">
      <c r="B38" s="14"/>
      <c r="C38" s="1"/>
      <c r="D38" s="1"/>
      <c r="E38" s="1"/>
      <c r="F38" s="1"/>
      <c r="G38" s="1406"/>
    </row>
    <row r="39" spans="2:11">
      <c r="B39" s="14"/>
      <c r="C39" s="1"/>
      <c r="D39" s="1"/>
      <c r="E39" s="1"/>
      <c r="F39" s="1"/>
      <c r="G39" s="1406"/>
    </row>
    <row r="40" spans="2:11">
      <c r="B40" s="14"/>
      <c r="C40" s="1"/>
      <c r="D40" s="1"/>
      <c r="E40" s="1"/>
      <c r="F40" s="1"/>
      <c r="G40" s="1406"/>
    </row>
    <row r="41" spans="2:11">
      <c r="B41" s="14"/>
      <c r="C41" s="1"/>
      <c r="D41" s="1"/>
      <c r="E41" s="1"/>
      <c r="F41" s="1"/>
      <c r="G41" s="1406"/>
    </row>
    <row r="42" spans="2:11">
      <c r="B42" s="14"/>
      <c r="C42" s="1"/>
      <c r="D42" s="1"/>
      <c r="E42" s="1"/>
      <c r="F42" s="1"/>
      <c r="G42" s="1406"/>
    </row>
    <row r="43" spans="2:11">
      <c r="B43" s="14"/>
      <c r="C43" s="1"/>
      <c r="D43" s="1"/>
      <c r="E43" s="1"/>
      <c r="F43" s="1"/>
      <c r="G43" s="1406"/>
    </row>
    <row r="44" spans="2:11">
      <c r="B44" s="14"/>
      <c r="C44" s="1"/>
      <c r="D44" s="1"/>
      <c r="E44" s="1"/>
      <c r="F44" s="1"/>
      <c r="G44" s="1406"/>
    </row>
    <row r="45" spans="2:11">
      <c r="B45" s="14"/>
      <c r="C45" s="1"/>
      <c r="D45" s="1"/>
      <c r="E45" s="1"/>
      <c r="F45" s="1"/>
      <c r="G45" s="1406"/>
    </row>
    <row r="46" spans="2:11">
      <c r="B46" s="14"/>
      <c r="C46" s="1"/>
      <c r="D46" s="1"/>
      <c r="E46" s="1"/>
      <c r="F46" s="1"/>
      <c r="G46" s="1406"/>
    </row>
    <row r="47" spans="2:11">
      <c r="B47" s="14"/>
      <c r="C47" s="1"/>
      <c r="D47" s="1"/>
      <c r="E47" s="1"/>
      <c r="F47" s="1"/>
      <c r="G47" s="1406"/>
    </row>
    <row r="48" spans="2:11">
      <c r="B48" s="14"/>
      <c r="C48" s="1"/>
      <c r="D48" s="1"/>
      <c r="E48" s="1"/>
      <c r="F48" s="1"/>
      <c r="G48" s="1406"/>
    </row>
    <row r="49" spans="2:9">
      <c r="B49" s="14"/>
      <c r="C49" s="1"/>
      <c r="D49" s="1"/>
      <c r="E49" s="1"/>
      <c r="F49" s="1"/>
      <c r="G49" s="1406"/>
    </row>
    <row r="50" spans="2:9">
      <c r="B50" s="14"/>
      <c r="C50" s="1"/>
      <c r="D50" s="1"/>
      <c r="E50" s="1"/>
      <c r="F50" s="1"/>
      <c r="G50" s="1406"/>
    </row>
    <row r="51" spans="2:9">
      <c r="B51" s="14"/>
      <c r="C51" s="1"/>
      <c r="D51" s="1"/>
      <c r="E51" s="1"/>
      <c r="F51" s="1"/>
      <c r="G51" s="1406"/>
    </row>
    <row r="52" spans="2:9" ht="21.75" customHeight="1">
      <c r="B52" s="14"/>
      <c r="C52" s="1"/>
      <c r="D52" s="1"/>
      <c r="E52" s="1"/>
      <c r="F52" s="1"/>
      <c r="G52" s="1406"/>
      <c r="I52" s="1"/>
    </row>
    <row r="53" spans="2:9" ht="8.25" customHeight="1">
      <c r="B53" s="14"/>
      <c r="C53" s="1"/>
      <c r="D53" s="1"/>
      <c r="E53" s="1"/>
      <c r="F53" s="1"/>
      <c r="G53" s="1406"/>
      <c r="I53" s="1"/>
    </row>
    <row r="54" spans="2:9">
      <c r="B54" s="14"/>
      <c r="C54" s="1"/>
      <c r="D54" s="1"/>
      <c r="E54" s="1"/>
      <c r="F54" s="1"/>
      <c r="G54" s="1406"/>
      <c r="I54" s="1"/>
    </row>
    <row r="55" spans="2:9">
      <c r="B55" s="14"/>
      <c r="C55" s="1"/>
      <c r="D55" s="1"/>
      <c r="E55" s="1"/>
      <c r="F55" s="1"/>
      <c r="G55" s="1406"/>
      <c r="I55" s="1"/>
    </row>
    <row r="56" spans="2:9" ht="13.5" thickBot="1">
      <c r="B56" s="17"/>
      <c r="C56" s="18"/>
      <c r="D56" s="18"/>
      <c r="E56" s="18"/>
      <c r="F56" s="18"/>
      <c r="G56" s="101">
        <v>2</v>
      </c>
      <c r="I56" s="1"/>
    </row>
    <row r="57" spans="2:9">
      <c r="I57" s="1"/>
    </row>
    <row r="436" ht="23.25" customHeight="1"/>
  </sheetData>
  <mergeCells count="6">
    <mergeCell ref="B2:G2"/>
    <mergeCell ref="B27:G27"/>
    <mergeCell ref="C10:G10"/>
    <mergeCell ref="G4:G5"/>
    <mergeCell ref="C4:C5"/>
    <mergeCell ref="E5:F5"/>
  </mergeCells>
  <phoneticPr fontId="17" type="noConversion"/>
  <dataValidations count="3">
    <dataValidation allowBlank="1" showInputMessage="1" showErrorMessage="1" errorTitle="Warning" error="This Cell is linked. Do Not change." promptTitle="Warning" prompt="This Cell is linked. Do Not change." sqref="E7:E9"/>
    <dataValidation type="custom" allowBlank="1" showInputMessage="1" showErrorMessage="1" errorTitle="Warning" error="This Cell is linked. Do Not change." promptTitle="Warning" prompt="This Cell is linked. Do Not change." sqref="E30:E33 E6">
      <formula1>"vlookup"</formula1>
    </dataValidation>
    <dataValidation type="custom" errorStyle="warning" allowBlank="1" showErrorMessage="1" errorTitle="Warning" error="This Cell is linked. Do Not change." promptTitle="Warning" prompt="This Cell is linked. Do Not change." sqref="F6:F8">
      <formula1>"vlookup"</formula1>
    </dataValidation>
  </dataValidations>
  <printOptions horizontalCentered="1" verticalCentered="1"/>
  <pageMargins left="0.75" right="0.75" top="1" bottom="1" header="0.5" footer="0.5"/>
  <pageSetup scale="7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2060"/>
  </sheetPr>
  <dimension ref="A1:X434"/>
  <sheetViews>
    <sheetView view="pageBreakPreview" topLeftCell="D31" zoomScaleNormal="86" zoomScaleSheetLayoutView="100" workbookViewId="0">
      <selection activeCell="J28" sqref="J28"/>
    </sheetView>
  </sheetViews>
  <sheetFormatPr defaultColWidth="9.140625" defaultRowHeight="12.75"/>
  <cols>
    <col min="1" max="1" width="9.140625" style="12"/>
    <col min="2" max="2" width="7.5703125" style="133" customWidth="1"/>
    <col min="3" max="3" width="12" style="12" customWidth="1"/>
    <col min="4" max="5" width="11.85546875" style="12" customWidth="1"/>
    <col min="6" max="6" width="12.28515625" style="12" customWidth="1"/>
    <col min="7" max="7" width="10.85546875" style="12" customWidth="1"/>
    <col min="8" max="8" width="15.5703125" style="12" customWidth="1"/>
    <col min="9" max="9" width="11.42578125" style="12" customWidth="1"/>
    <col min="10" max="10" width="15.42578125" style="12" customWidth="1"/>
    <col min="11" max="11" width="11.85546875" style="12" customWidth="1"/>
    <col min="12" max="12" width="23.7109375" style="12" customWidth="1"/>
    <col min="13" max="13" width="11.7109375" style="12" customWidth="1"/>
    <col min="14" max="14" width="3.7109375" style="12" customWidth="1"/>
    <col min="15" max="16384" width="9.140625" style="12"/>
  </cols>
  <sheetData>
    <row r="1" spans="2:24" ht="13.5" thickBot="1">
      <c r="B1" s="59"/>
    </row>
    <row r="2" spans="2:24" ht="21.75" customHeight="1" thickBot="1">
      <c r="B2" s="1654" t="str">
        <f>"3.   List of Projects Commissioned During"   &amp;TEXT(TY," mmm-yyyy")</f>
        <v>3.   List of Projects Commissioned During Jun-2021</v>
      </c>
      <c r="C2" s="1655"/>
      <c r="D2" s="1655"/>
      <c r="E2" s="1655"/>
      <c r="F2" s="1655"/>
      <c r="G2" s="1655"/>
      <c r="H2" s="1655"/>
      <c r="I2" s="1655"/>
      <c r="J2" s="1655"/>
      <c r="K2" s="1655"/>
      <c r="L2" s="1655"/>
      <c r="M2" s="1656"/>
    </row>
    <row r="3" spans="2:24" ht="20.25" customHeight="1">
      <c r="B3" s="592">
        <v>1</v>
      </c>
      <c r="C3" s="1661" t="s">
        <v>405</v>
      </c>
      <c r="D3" s="1661"/>
      <c r="E3" s="1661"/>
      <c r="F3" s="1661"/>
      <c r="G3" s="1661"/>
      <c r="H3" s="1661"/>
      <c r="I3" s="1661"/>
      <c r="J3" s="1661"/>
      <c r="K3" s="1661"/>
      <c r="L3" s="1661"/>
      <c r="M3" s="573"/>
    </row>
    <row r="4" spans="2:24" ht="20.25" customHeight="1">
      <c r="B4" s="592"/>
      <c r="C4" s="1306" t="s">
        <v>1532</v>
      </c>
      <c r="D4" s="1306"/>
      <c r="E4" s="1306"/>
      <c r="F4" s="1306"/>
      <c r="G4" s="1306"/>
      <c r="H4" s="1306"/>
      <c r="I4" s="1306"/>
      <c r="J4" s="1306"/>
      <c r="K4" s="1306"/>
      <c r="L4" s="1306"/>
      <c r="M4" s="573"/>
    </row>
    <row r="5" spans="2:24" ht="12.75" customHeight="1">
      <c r="B5" s="592">
        <v>2</v>
      </c>
      <c r="C5" s="1409" t="s">
        <v>407</v>
      </c>
      <c r="D5" s="1306"/>
      <c r="E5" s="1306"/>
      <c r="F5" s="1306"/>
      <c r="G5" s="1306"/>
      <c r="H5" s="1306"/>
      <c r="I5" s="1306"/>
      <c r="J5" s="1306"/>
      <c r="K5" s="1306"/>
      <c r="L5" s="1306"/>
      <c r="M5" s="573"/>
    </row>
    <row r="6" spans="2:24" ht="15" customHeight="1">
      <c r="B6" s="593"/>
      <c r="C6" s="1662" t="s">
        <v>2002</v>
      </c>
      <c r="D6" s="1662"/>
      <c r="E6" s="1662"/>
      <c r="F6" s="1662"/>
      <c r="G6" s="1662"/>
      <c r="H6" s="1662"/>
      <c r="I6" s="1662"/>
      <c r="J6" s="1662"/>
      <c r="K6" s="1662"/>
      <c r="L6" s="1662"/>
      <c r="M6" s="1663"/>
    </row>
    <row r="7" spans="2:24" ht="15" customHeight="1">
      <c r="B7" s="593">
        <v>3</v>
      </c>
      <c r="C7" s="1664" t="s">
        <v>411</v>
      </c>
      <c r="D7" s="1664"/>
      <c r="E7" s="1664"/>
      <c r="F7" s="1664"/>
      <c r="G7" s="1664"/>
      <c r="H7" s="1664"/>
      <c r="I7" s="1664"/>
      <c r="J7" s="1664"/>
      <c r="K7" s="1664"/>
      <c r="L7" s="1664"/>
      <c r="M7" s="1420"/>
    </row>
    <row r="8" spans="2:24" ht="15" customHeight="1">
      <c r="B8" s="593"/>
      <c r="C8" s="1653" t="s">
        <v>1532</v>
      </c>
      <c r="D8" s="1653"/>
      <c r="E8" s="1653"/>
      <c r="F8" s="1653"/>
      <c r="G8" s="1653"/>
      <c r="H8" s="1653"/>
      <c r="I8" s="1653"/>
      <c r="J8" s="1653"/>
      <c r="K8" s="1653"/>
      <c r="L8" s="1653"/>
      <c r="M8" s="574"/>
    </row>
    <row r="9" spans="2:24" ht="15" customHeight="1">
      <c r="B9" s="594"/>
      <c r="C9" s="1660"/>
      <c r="D9" s="1660"/>
      <c r="E9" s="1660"/>
      <c r="F9" s="1660"/>
      <c r="G9" s="1660"/>
      <c r="H9" s="1660"/>
      <c r="I9" s="1660"/>
      <c r="J9" s="1660"/>
      <c r="K9" s="1660"/>
      <c r="L9" s="1660"/>
      <c r="M9" s="574"/>
    </row>
    <row r="10" spans="2:24" ht="15" customHeight="1">
      <c r="B10" s="575"/>
      <c r="C10" s="1408"/>
      <c r="D10" s="1408"/>
      <c r="E10" s="1408"/>
      <c r="F10" s="1408"/>
      <c r="G10" s="1408"/>
      <c r="H10" s="1408"/>
      <c r="I10" s="1408"/>
      <c r="J10" s="1408"/>
      <c r="K10" s="1408"/>
      <c r="L10" s="1408"/>
      <c r="M10" s="574"/>
    </row>
    <row r="11" spans="2:24" s="269" customFormat="1" ht="23.25" customHeight="1">
      <c r="B11" s="1657" t="str">
        <f>"4. All India Installed Capacity (MW) Region-wise as on" &amp;TEXT( EOMONTH(TY,0)," dd-mm-yyyy")</f>
        <v>4. All India Installed Capacity (MW) Region-wise as on 30-06-2021</v>
      </c>
      <c r="C11" s="1658"/>
      <c r="D11" s="1658"/>
      <c r="E11" s="1658"/>
      <c r="F11" s="1658"/>
      <c r="G11" s="1658"/>
      <c r="H11" s="1658"/>
      <c r="I11" s="1658"/>
      <c r="J11" s="1658"/>
      <c r="K11" s="1658"/>
      <c r="L11" s="1658"/>
      <c r="M11" s="1659"/>
    </row>
    <row r="12" spans="2:24" ht="12.75" customHeight="1">
      <c r="B12" s="576"/>
      <c r="C12" s="268"/>
      <c r="D12" s="1650" t="s">
        <v>405</v>
      </c>
      <c r="E12" s="1651"/>
      <c r="F12" s="1651"/>
      <c r="G12" s="1651"/>
      <c r="H12" s="1652"/>
      <c r="I12" s="180" t="s">
        <v>411</v>
      </c>
      <c r="J12" s="246" t="s">
        <v>407</v>
      </c>
      <c r="K12" s="247" t="s">
        <v>756</v>
      </c>
      <c r="L12" s="179" t="s">
        <v>403</v>
      </c>
      <c r="M12" s="577"/>
    </row>
    <row r="13" spans="2:24" ht="12.75" customHeight="1">
      <c r="B13" s="578"/>
      <c r="C13" s="131" t="s">
        <v>402</v>
      </c>
      <c r="D13" s="180" t="s">
        <v>408</v>
      </c>
      <c r="E13" s="180" t="s">
        <v>888</v>
      </c>
      <c r="F13" s="180" t="s">
        <v>409</v>
      </c>
      <c r="G13" s="180" t="s">
        <v>410</v>
      </c>
      <c r="H13" s="180" t="s">
        <v>406</v>
      </c>
      <c r="I13" s="181"/>
      <c r="J13" s="182"/>
      <c r="K13" s="182"/>
      <c r="L13" s="182"/>
      <c r="M13" s="577"/>
    </row>
    <row r="14" spans="2:24" ht="15.75">
      <c r="B14" s="578"/>
      <c r="C14" s="131" t="s">
        <v>412</v>
      </c>
      <c r="D14" s="183">
        <f>'14-19'!D12</f>
        <v>54747.309000000001</v>
      </c>
      <c r="E14" s="183">
        <f>'14-19'!E12</f>
        <v>1580</v>
      </c>
      <c r="F14" s="183">
        <f>'14-19'!F12</f>
        <v>5781.26</v>
      </c>
      <c r="G14" s="183">
        <f>'14-19'!G12</f>
        <v>0</v>
      </c>
      <c r="H14" s="183">
        <f>'14-19'!H12</f>
        <v>62108.568999999996</v>
      </c>
      <c r="I14" s="183">
        <f>'14-19'!I12</f>
        <v>1620.0000000000002</v>
      </c>
      <c r="J14" s="183">
        <f>'14-19'!J12</f>
        <v>20288.770000000004</v>
      </c>
      <c r="K14" s="183">
        <f>'14-19'!K12</f>
        <v>19734.640000000003</v>
      </c>
      <c r="L14" s="183">
        <f>'14-19'!L12</f>
        <v>103751.97900000002</v>
      </c>
      <c r="M14" s="579"/>
      <c r="O14" s="318"/>
      <c r="P14" s="318"/>
      <c r="Q14" s="318"/>
      <c r="R14" s="318"/>
      <c r="S14" s="318"/>
      <c r="T14" s="318"/>
      <c r="U14" s="318"/>
      <c r="V14" s="318"/>
      <c r="W14" s="318"/>
      <c r="X14" s="318"/>
    </row>
    <row r="15" spans="2:24" ht="15.75">
      <c r="B15" s="578"/>
      <c r="C15" s="131" t="s">
        <v>416</v>
      </c>
      <c r="D15" s="183">
        <f>'14-19'!D16</f>
        <v>74480.171999999991</v>
      </c>
      <c r="E15" s="183">
        <f>'14-19'!E16</f>
        <v>1400</v>
      </c>
      <c r="F15" s="183">
        <f>'14-19'!F16</f>
        <v>10806.49</v>
      </c>
      <c r="G15" s="183">
        <f>'14-19'!G16</f>
        <v>0</v>
      </c>
      <c r="H15" s="183">
        <f>'14-19'!H16</f>
        <v>86686.661999999997</v>
      </c>
      <c r="I15" s="183">
        <f>'14-19'!I16</f>
        <v>1840</v>
      </c>
      <c r="J15" s="183">
        <f>'14-19'!J16</f>
        <v>7562.5</v>
      </c>
      <c r="K15" s="183">
        <f>'14-19'!K16</f>
        <v>30367.199999999993</v>
      </c>
      <c r="L15" s="183">
        <f>'14-19'!L16</f>
        <v>126456.36199999999</v>
      </c>
      <c r="M15" s="579"/>
      <c r="O15" s="318"/>
      <c r="P15" s="318"/>
      <c r="Q15" s="318"/>
      <c r="R15" s="318"/>
      <c r="S15" s="318"/>
      <c r="T15" s="318"/>
      <c r="U15" s="318"/>
      <c r="V15" s="318"/>
    </row>
    <row r="16" spans="2:24" ht="15.75">
      <c r="B16" s="578"/>
      <c r="C16" s="131" t="s">
        <v>417</v>
      </c>
      <c r="D16" s="183">
        <f>'14-19'!D20</f>
        <v>44904.524000000005</v>
      </c>
      <c r="E16" s="183">
        <f>'14-19'!E20</f>
        <v>3640.0000000000005</v>
      </c>
      <c r="F16" s="183">
        <f>'14-19'!F20</f>
        <v>6491.8040000000001</v>
      </c>
      <c r="G16" s="183">
        <f>'14-19'!G20</f>
        <v>433.66100000000006</v>
      </c>
      <c r="H16" s="183">
        <f>'14-19'!H20</f>
        <v>55469.988999999994</v>
      </c>
      <c r="I16" s="183">
        <f>'14-19'!I20</f>
        <v>3320</v>
      </c>
      <c r="J16" s="183">
        <f>'14-19'!J20</f>
        <v>11774.83</v>
      </c>
      <c r="K16" s="183">
        <f>'14-19'!K20</f>
        <v>44837.75</v>
      </c>
      <c r="L16" s="183">
        <f>'14-19'!L20</f>
        <v>115402.569</v>
      </c>
      <c r="M16" s="579"/>
      <c r="O16" s="318"/>
      <c r="P16" s="318"/>
      <c r="Q16" s="318"/>
      <c r="R16" s="318"/>
      <c r="S16" s="318"/>
      <c r="T16" s="318"/>
      <c r="U16" s="318"/>
      <c r="V16" s="318"/>
    </row>
    <row r="17" spans="2:22" ht="15.75">
      <c r="B17" s="578"/>
      <c r="C17" s="131" t="s">
        <v>418</v>
      </c>
      <c r="D17" s="183">
        <f>'14-19'!D24</f>
        <v>27102.474999999999</v>
      </c>
      <c r="E17" s="183">
        <f>'14-19'!E24</f>
        <v>0</v>
      </c>
      <c r="F17" s="183">
        <f>'14-19'!F24</f>
        <v>100</v>
      </c>
      <c r="G17" s="183">
        <f>'14-19'!G24</f>
        <v>0</v>
      </c>
      <c r="H17" s="183">
        <f>'14-19'!H24</f>
        <v>27202.474999999999</v>
      </c>
      <c r="I17" s="183">
        <f>'14-19'!I24</f>
        <v>0</v>
      </c>
      <c r="J17" s="183">
        <f>'14-19'!J24</f>
        <v>4752.12</v>
      </c>
      <c r="K17" s="183">
        <f>'14-19'!K24</f>
        <v>1595.2999999999997</v>
      </c>
      <c r="L17" s="183">
        <f>'14-19'!L24</f>
        <v>33549.894999999997</v>
      </c>
      <c r="M17" s="579"/>
      <c r="O17" s="318"/>
      <c r="P17" s="318"/>
      <c r="Q17" s="318"/>
      <c r="R17" s="318"/>
      <c r="S17" s="318"/>
      <c r="T17" s="318"/>
      <c r="U17" s="318"/>
      <c r="V17" s="318"/>
    </row>
    <row r="18" spans="2:22" ht="15.75">
      <c r="B18" s="578"/>
      <c r="C18" s="131" t="s">
        <v>462</v>
      </c>
      <c r="D18" s="183">
        <f>'14-19'!D28</f>
        <v>770.02</v>
      </c>
      <c r="E18" s="183">
        <f>'14-19'!E28</f>
        <v>0</v>
      </c>
      <c r="F18" s="183">
        <f>'14-19'!F28</f>
        <v>1744.4549999999999</v>
      </c>
      <c r="G18" s="183">
        <f>'14-19'!G28</f>
        <v>36</v>
      </c>
      <c r="H18" s="183">
        <f>'14-19'!H28</f>
        <v>2550.4749999999999</v>
      </c>
      <c r="I18" s="183">
        <f>'14-19'!I28</f>
        <v>0</v>
      </c>
      <c r="J18" s="183">
        <f>'14-19'!J28</f>
        <v>1944</v>
      </c>
      <c r="K18" s="183">
        <f>'14-19'!K28</f>
        <v>385.39499999999998</v>
      </c>
      <c r="L18" s="183">
        <f>'14-19'!L28</f>
        <v>4879.869999999999</v>
      </c>
      <c r="M18" s="579"/>
      <c r="O18" s="318"/>
      <c r="P18" s="318"/>
      <c r="Q18" s="318"/>
      <c r="R18" s="318"/>
      <c r="S18" s="318"/>
      <c r="T18" s="318"/>
      <c r="U18" s="318"/>
      <c r="V18" s="318"/>
    </row>
    <row r="19" spans="2:22" ht="15.75">
      <c r="B19" s="578"/>
      <c r="C19" s="131" t="s">
        <v>419</v>
      </c>
      <c r="D19" s="183">
        <f>'14-19'!D32</f>
        <v>0</v>
      </c>
      <c r="E19" s="183">
        <f>'14-19'!E32</f>
        <v>0</v>
      </c>
      <c r="F19" s="183">
        <f>'14-19'!F32</f>
        <v>0</v>
      </c>
      <c r="G19" s="183">
        <f>'14-19'!G32</f>
        <v>40.048000000000002</v>
      </c>
      <c r="H19" s="183">
        <f>'14-19'!H32</f>
        <v>40.048000000000002</v>
      </c>
      <c r="I19" s="183">
        <f>'14-19'!I32</f>
        <v>0</v>
      </c>
      <c r="J19" s="183">
        <f>'14-19'!J32</f>
        <v>0</v>
      </c>
      <c r="K19" s="183">
        <f>'14-19'!K32</f>
        <v>35.22</v>
      </c>
      <c r="L19" s="183">
        <f>'14-19'!L32</f>
        <v>75.268000000000001</v>
      </c>
      <c r="M19" s="579"/>
      <c r="O19" s="318"/>
      <c r="P19" s="318"/>
      <c r="Q19" s="318"/>
      <c r="R19" s="318"/>
      <c r="S19" s="318"/>
      <c r="T19" s="318"/>
      <c r="U19" s="318"/>
      <c r="V19" s="318"/>
    </row>
    <row r="20" spans="2:22" ht="15.75">
      <c r="B20" s="578"/>
      <c r="C20" s="183" t="s">
        <v>420</v>
      </c>
      <c r="D20" s="183">
        <f>SUM(D14:D19)</f>
        <v>202004.5</v>
      </c>
      <c r="E20" s="183">
        <f t="shared" ref="E20:L20" si="0">SUM(E14:E19)</f>
        <v>6620</v>
      </c>
      <c r="F20" s="183">
        <f t="shared" si="0"/>
        <v>24924.008999999998</v>
      </c>
      <c r="G20" s="183">
        <f t="shared" si="0"/>
        <v>509.70900000000006</v>
      </c>
      <c r="H20" s="183">
        <f t="shared" si="0"/>
        <v>234058.21800000002</v>
      </c>
      <c r="I20" s="183">
        <f t="shared" si="0"/>
        <v>6780</v>
      </c>
      <c r="J20" s="183">
        <f t="shared" si="0"/>
        <v>46322.220000000008</v>
      </c>
      <c r="K20" s="183">
        <f t="shared" si="0"/>
        <v>96955.505000000005</v>
      </c>
      <c r="L20" s="183">
        <f t="shared" si="0"/>
        <v>384115.94300000003</v>
      </c>
      <c r="M20" s="579"/>
      <c r="N20" s="135">
        <f>L20+1720</f>
        <v>385835.94300000003</v>
      </c>
      <c r="O20" s="318"/>
      <c r="P20" s="318"/>
      <c r="Q20" s="318"/>
      <c r="R20" s="318"/>
      <c r="S20" s="318"/>
      <c r="T20" s="318"/>
      <c r="U20" s="318"/>
      <c r="V20" s="318"/>
    </row>
    <row r="21" spans="2:22" ht="15.75">
      <c r="B21" s="578"/>
      <c r="C21" s="991" t="s">
        <v>1225</v>
      </c>
      <c r="D21" s="188"/>
      <c r="E21" s="188"/>
      <c r="F21" s="188"/>
      <c r="G21" s="188"/>
      <c r="H21" s="188"/>
      <c r="I21" s="188"/>
      <c r="J21" s="188"/>
      <c r="K21" s="189"/>
      <c r="L21" s="184"/>
      <c r="M21" s="580"/>
    </row>
    <row r="22" spans="2:22" ht="15.75">
      <c r="B22" s="578"/>
      <c r="C22" s="188"/>
      <c r="D22" s="188"/>
      <c r="E22" s="188"/>
      <c r="F22" s="188"/>
      <c r="G22" s="188"/>
      <c r="H22" s="188"/>
      <c r="I22" s="188"/>
      <c r="J22" s="188"/>
      <c r="K22" s="189"/>
      <c r="L22" s="184"/>
      <c r="M22" s="580"/>
    </row>
    <row r="23" spans="2:22" ht="15.75">
      <c r="B23" s="581"/>
      <c r="C23" s="188"/>
      <c r="D23" s="139"/>
      <c r="E23" s="139"/>
      <c r="F23" s="139"/>
      <c r="G23" s="139"/>
      <c r="H23" s="139"/>
      <c r="I23" s="139"/>
      <c r="J23" s="139"/>
      <c r="K23" s="190"/>
      <c r="L23" s="138"/>
      <c r="M23" s="582"/>
    </row>
    <row r="24" spans="2:22">
      <c r="B24" s="581"/>
      <c r="C24" s="139"/>
      <c r="D24" s="139"/>
      <c r="E24" s="139"/>
      <c r="F24" s="139"/>
      <c r="G24" s="139"/>
      <c r="H24" s="139"/>
      <c r="I24" s="139"/>
      <c r="J24" s="139"/>
      <c r="K24" s="190"/>
      <c r="L24" s="138"/>
      <c r="M24" s="582"/>
    </row>
    <row r="25" spans="2:22">
      <c r="B25" s="581"/>
      <c r="C25" s="139"/>
      <c r="D25" s="139"/>
      <c r="E25" s="139"/>
      <c r="F25" s="139"/>
      <c r="G25" s="139"/>
      <c r="H25" s="139"/>
      <c r="I25" s="139"/>
      <c r="J25" s="139"/>
      <c r="K25" s="190"/>
      <c r="L25" s="138"/>
      <c r="M25" s="582"/>
    </row>
    <row r="26" spans="2:22">
      <c r="B26" s="581"/>
      <c r="C26" s="139"/>
      <c r="D26" s="139"/>
      <c r="E26" s="139"/>
      <c r="F26" s="139"/>
      <c r="G26" s="139"/>
      <c r="H26" s="139"/>
      <c r="I26" s="139"/>
      <c r="J26" s="139"/>
      <c r="K26" s="139"/>
      <c r="L26" s="138"/>
      <c r="M26" s="582"/>
    </row>
    <row r="27" spans="2:22">
      <c r="B27" s="581"/>
      <c r="C27" s="139"/>
      <c r="D27" s="139"/>
      <c r="E27" s="139"/>
      <c r="F27" s="139"/>
      <c r="G27" s="139"/>
      <c r="H27" s="139"/>
      <c r="I27" s="139"/>
      <c r="J27" s="139"/>
      <c r="K27" s="190"/>
      <c r="L27" s="138"/>
      <c r="M27" s="582"/>
    </row>
    <row r="28" spans="2:22">
      <c r="B28" s="581"/>
      <c r="C28" s="139"/>
      <c r="D28" s="139"/>
      <c r="E28" s="139"/>
      <c r="F28" s="139"/>
      <c r="G28" s="139"/>
      <c r="H28" s="139"/>
      <c r="I28" s="139"/>
      <c r="J28" s="139"/>
      <c r="K28" s="190"/>
      <c r="L28" s="138"/>
      <c r="M28" s="582"/>
    </row>
    <row r="29" spans="2:22">
      <c r="B29" s="581"/>
      <c r="C29" s="139"/>
      <c r="D29" s="139"/>
      <c r="E29" s="139"/>
      <c r="F29" s="139"/>
      <c r="G29" s="139"/>
      <c r="H29" s="139"/>
      <c r="I29" s="139"/>
      <c r="J29" s="139"/>
      <c r="K29" s="190"/>
      <c r="L29" s="138"/>
      <c r="M29" s="582"/>
    </row>
    <row r="30" spans="2:22">
      <c r="B30" s="581"/>
      <c r="C30" s="139"/>
      <c r="D30" s="139"/>
      <c r="E30" s="139"/>
      <c r="F30" s="139"/>
      <c r="G30" s="139"/>
      <c r="H30" s="139"/>
      <c r="I30" s="139"/>
      <c r="J30" s="139"/>
      <c r="K30" s="190"/>
      <c r="L30" s="138"/>
      <c r="M30" s="582"/>
    </row>
    <row r="31" spans="2:22">
      <c r="B31" s="581"/>
      <c r="C31" s="139"/>
      <c r="D31" s="139"/>
      <c r="E31" s="139"/>
      <c r="F31" s="139"/>
      <c r="G31" s="139"/>
      <c r="H31" s="139"/>
      <c r="I31" s="139"/>
      <c r="J31" s="139"/>
      <c r="K31" s="190"/>
      <c r="L31" s="139"/>
      <c r="M31" s="583"/>
    </row>
    <row r="32" spans="2:22">
      <c r="B32" s="581"/>
      <c r="C32" s="139"/>
      <c r="D32" s="59"/>
      <c r="E32" s="59"/>
      <c r="F32" s="59"/>
      <c r="G32" s="59"/>
      <c r="H32" s="59"/>
      <c r="I32" s="59"/>
      <c r="J32" s="59"/>
      <c r="K32" s="59"/>
      <c r="L32" s="59"/>
      <c r="M32" s="584"/>
    </row>
    <row r="33" spans="1:15">
      <c r="B33" s="581"/>
      <c r="C33" s="139"/>
      <c r="D33" s="59"/>
      <c r="E33" s="59"/>
      <c r="F33" s="59"/>
      <c r="G33" s="59"/>
      <c r="H33" s="59"/>
      <c r="I33" s="59"/>
      <c r="J33" s="59"/>
      <c r="K33" s="59"/>
      <c r="L33" s="59"/>
      <c r="M33" s="584"/>
    </row>
    <row r="34" spans="1:15">
      <c r="B34" s="581"/>
      <c r="C34" s="139"/>
      <c r="D34" s="59"/>
      <c r="E34" s="59"/>
      <c r="F34" s="59"/>
      <c r="G34" s="59"/>
      <c r="H34" s="59"/>
      <c r="I34" s="59"/>
      <c r="J34" s="59"/>
      <c r="K34" s="59"/>
      <c r="L34" s="59"/>
      <c r="M34" s="584"/>
    </row>
    <row r="35" spans="1:15">
      <c r="B35" s="581"/>
      <c r="C35" s="139"/>
      <c r="D35" s="59"/>
      <c r="E35" s="59"/>
      <c r="F35" s="59"/>
      <c r="G35" s="59"/>
      <c r="H35" s="59"/>
      <c r="I35" s="59"/>
      <c r="J35" s="59"/>
      <c r="K35" s="59"/>
      <c r="L35" s="59"/>
      <c r="M35" s="584"/>
    </row>
    <row r="36" spans="1:15">
      <c r="B36" s="581"/>
      <c r="C36" s="59"/>
      <c r="D36" s="59"/>
      <c r="E36" s="59"/>
      <c r="F36" s="59"/>
      <c r="G36" s="59"/>
      <c r="H36" s="59"/>
      <c r="I36" s="59"/>
      <c r="J36" s="59"/>
      <c r="K36" s="59"/>
      <c r="L36" s="59"/>
      <c r="M36" s="584"/>
    </row>
    <row r="37" spans="1:15">
      <c r="B37" s="581"/>
      <c r="C37" s="59"/>
      <c r="D37" s="59"/>
      <c r="E37" s="59"/>
      <c r="F37" s="59"/>
      <c r="G37" s="59"/>
      <c r="H37" s="59"/>
      <c r="I37" s="59"/>
      <c r="J37" s="59"/>
      <c r="K37" s="59"/>
      <c r="L37" s="59"/>
      <c r="M37" s="584"/>
    </row>
    <row r="38" spans="1:15">
      <c r="B38" s="581"/>
      <c r="C38" s="59"/>
      <c r="D38" s="59"/>
      <c r="E38" s="59"/>
      <c r="F38" s="59"/>
      <c r="G38" s="59"/>
      <c r="H38" s="59"/>
      <c r="I38" s="59"/>
      <c r="J38" s="59"/>
      <c r="K38" s="59"/>
      <c r="L38" s="59"/>
      <c r="M38" s="584"/>
    </row>
    <row r="39" spans="1:15">
      <c r="B39" s="581"/>
      <c r="C39" s="59"/>
      <c r="D39" s="59"/>
      <c r="E39" s="59"/>
      <c r="F39" s="59"/>
      <c r="G39" s="59"/>
      <c r="H39" s="59"/>
      <c r="I39" s="59"/>
      <c r="J39" s="59"/>
      <c r="K39" s="59"/>
      <c r="L39" s="59"/>
      <c r="M39" s="584"/>
    </row>
    <row r="40" spans="1:15">
      <c r="B40" s="581"/>
      <c r="C40" s="59"/>
      <c r="D40" s="59"/>
      <c r="E40" s="59"/>
      <c r="F40" s="59"/>
      <c r="G40" s="59"/>
      <c r="H40" s="59"/>
      <c r="I40" s="59"/>
      <c r="J40" s="59"/>
      <c r="K40" s="59"/>
      <c r="L40" s="59"/>
      <c r="M40" s="584"/>
    </row>
    <row r="41" spans="1:15">
      <c r="B41" s="581"/>
      <c r="C41" s="59"/>
      <c r="D41" s="59"/>
      <c r="E41" s="59"/>
      <c r="F41" s="59"/>
      <c r="G41" s="59"/>
      <c r="H41" s="59"/>
      <c r="I41" s="59"/>
      <c r="J41" s="59"/>
      <c r="K41" s="59"/>
      <c r="L41" s="59"/>
      <c r="M41" s="584"/>
    </row>
    <row r="42" spans="1:15">
      <c r="B42" s="585"/>
      <c r="C42" s="59"/>
      <c r="D42" s="59"/>
      <c r="E42" s="59"/>
      <c r="F42" s="59"/>
      <c r="G42" s="59"/>
      <c r="H42" s="59"/>
      <c r="I42" s="59"/>
      <c r="J42" s="59"/>
      <c r="K42" s="59"/>
      <c r="L42" s="59"/>
      <c r="M42" s="584"/>
    </row>
    <row r="43" spans="1:15" ht="14.25" customHeight="1">
      <c r="B43" s="581"/>
      <c r="C43" s="59"/>
      <c r="D43" s="258"/>
      <c r="E43" s="258"/>
      <c r="F43" s="258"/>
      <c r="G43" s="258"/>
      <c r="H43" s="258"/>
      <c r="I43" s="258"/>
      <c r="J43" s="258"/>
      <c r="K43" s="258"/>
      <c r="L43" s="258"/>
      <c r="M43" s="586"/>
    </row>
    <row r="44" spans="1:15" s="176" customFormat="1" ht="15.75" customHeight="1" thickBot="1">
      <c r="A44" s="21"/>
      <c r="B44" s="587"/>
      <c r="C44" s="988" t="s">
        <v>1218</v>
      </c>
      <c r="D44" s="588"/>
      <c r="E44" s="588"/>
      <c r="F44" s="588"/>
      <c r="G44" s="588"/>
      <c r="H44" s="588"/>
      <c r="I44" s="588"/>
      <c r="J44" s="588" t="s">
        <v>1377</v>
      </c>
      <c r="K44" s="588"/>
      <c r="L44" s="1421"/>
      <c r="M44" s="101">
        <v>3</v>
      </c>
      <c r="N44" s="21"/>
      <c r="O44" s="21"/>
    </row>
    <row r="45" spans="1:15" s="255" customFormat="1">
      <c r="B45" s="385"/>
      <c r="C45" s="385"/>
      <c r="D45" s="249"/>
      <c r="E45" s="249"/>
      <c r="F45" s="249" t="s">
        <v>405</v>
      </c>
      <c r="G45" s="249" t="s">
        <v>411</v>
      </c>
      <c r="H45" s="249" t="s">
        <v>407</v>
      </c>
      <c r="I45" s="249" t="s">
        <v>447</v>
      </c>
      <c r="J45" s="249" t="s">
        <v>406</v>
      </c>
      <c r="K45" s="249" t="s">
        <v>4</v>
      </c>
      <c r="L45" s="249"/>
      <c r="M45" s="250"/>
    </row>
    <row r="46" spans="1:15" s="255" customFormat="1">
      <c r="B46" s="249"/>
      <c r="C46" s="249"/>
      <c r="D46" s="250"/>
      <c r="E46" s="250"/>
      <c r="F46" s="251">
        <f>H20</f>
        <v>234058.21800000002</v>
      </c>
      <c r="G46" s="252">
        <f>I20</f>
        <v>6780</v>
      </c>
      <c r="H46" s="252">
        <f>J20</f>
        <v>46322.220000000008</v>
      </c>
      <c r="I46" s="253">
        <f>K20</f>
        <v>96955.505000000005</v>
      </c>
      <c r="J46" s="253">
        <f>L20</f>
        <v>384115.94300000003</v>
      </c>
      <c r="K46" s="254">
        <v>78000</v>
      </c>
      <c r="L46" s="250"/>
      <c r="M46" s="250"/>
    </row>
    <row r="47" spans="1:15" s="255" customFormat="1">
      <c r="B47" s="384"/>
      <c r="C47" s="250"/>
    </row>
    <row r="48" spans="1:15" s="22" customFormat="1">
      <c r="B48" s="175"/>
      <c r="D48" s="255"/>
      <c r="E48" s="255"/>
      <c r="F48" s="255"/>
      <c r="G48" s="255"/>
      <c r="H48" s="255"/>
      <c r="I48" s="255"/>
      <c r="J48" s="255"/>
      <c r="K48" s="255"/>
      <c r="L48" s="255"/>
    </row>
    <row r="49" spans="3:11">
      <c r="C49" s="22"/>
      <c r="F49" s="134"/>
      <c r="G49" s="134"/>
      <c r="H49" s="134"/>
      <c r="I49" s="134"/>
      <c r="J49" s="134"/>
      <c r="K49" s="134"/>
    </row>
    <row r="50" spans="3:11" ht="21.75" customHeight="1">
      <c r="D50" s="385"/>
      <c r="F50" s="385"/>
    </row>
    <row r="79" spans="10:13">
      <c r="J79" s="255" t="s">
        <v>528</v>
      </c>
      <c r="K79" s="255"/>
      <c r="L79" s="386" t="str">
        <f>CONCATENATE(J79,,,    L20)</f>
        <v>Total  =  384115.943</v>
      </c>
      <c r="M79" s="255"/>
    </row>
    <row r="434" ht="23.25" customHeight="1"/>
  </sheetData>
  <mergeCells count="8">
    <mergeCell ref="D12:H12"/>
    <mergeCell ref="C8:L8"/>
    <mergeCell ref="B2:M2"/>
    <mergeCell ref="B11:M11"/>
    <mergeCell ref="C9:L9"/>
    <mergeCell ref="C3:L3"/>
    <mergeCell ref="C6:M6"/>
    <mergeCell ref="C7:L7"/>
  </mergeCells>
  <phoneticPr fontId="17" type="noConversion"/>
  <printOptions horizontalCentered="1" verticalCentered="1"/>
  <pageMargins left="0.75" right="0.75" top="1" bottom="1" header="0.5" footer="0.5"/>
  <pageSetup scale="53"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2060"/>
  </sheetPr>
  <dimension ref="A1:S435"/>
  <sheetViews>
    <sheetView view="pageBreakPreview" topLeftCell="D28" zoomScale="115" zoomScaleNormal="100" zoomScaleSheetLayoutView="115" workbookViewId="0">
      <selection activeCell="J28" sqref="J28"/>
    </sheetView>
  </sheetViews>
  <sheetFormatPr defaultColWidth="9.140625" defaultRowHeight="12.75"/>
  <cols>
    <col min="1" max="1" width="3.28515625" style="1" customWidth="1"/>
    <col min="2" max="2" width="10.140625" style="1" customWidth="1"/>
    <col min="3" max="3" width="13.7109375" style="1" bestFit="1" customWidth="1"/>
    <col min="4" max="4" width="13.7109375" style="1" customWidth="1"/>
    <col min="5" max="5" width="12.5703125" style="1" bestFit="1" customWidth="1"/>
    <col min="6" max="6" width="12.140625" style="1" customWidth="1"/>
    <col min="7" max="7" width="13.42578125" style="1" bestFit="1" customWidth="1"/>
    <col min="8" max="8" width="11.140625" style="1" bestFit="1" customWidth="1"/>
    <col min="9" max="9" width="12.5703125" style="1" bestFit="1" customWidth="1"/>
    <col min="10" max="10" width="13.42578125" style="1" customWidth="1"/>
    <col min="11" max="11" width="16" style="1" customWidth="1"/>
    <col min="12" max="16384" width="9.140625" style="1"/>
  </cols>
  <sheetData>
    <row r="1" spans="1:19" ht="23.25" customHeight="1" thickBot="1">
      <c r="A1" s="201"/>
      <c r="B1" s="1665" t="str">
        <f>"5. All India Installed Capacity (MW)  Sector-wise as on" &amp;TEXT( EOMONTH(TY,0)," dd-mm-yyyy")</f>
        <v>5. All India Installed Capacity (MW)  Sector-wise as on 30-06-2021</v>
      </c>
      <c r="C1" s="1666"/>
      <c r="D1" s="1666"/>
      <c r="E1" s="1666"/>
      <c r="F1" s="1666"/>
      <c r="G1" s="1666"/>
      <c r="H1" s="1666"/>
      <c r="I1" s="1666"/>
      <c r="J1" s="1666"/>
      <c r="K1" s="1667"/>
    </row>
    <row r="2" spans="1:19" ht="15.75">
      <c r="A2" s="1422"/>
      <c r="B2" s="1668"/>
      <c r="C2" s="1669"/>
      <c r="D2" s="1669"/>
      <c r="E2" s="1669"/>
      <c r="F2" s="1669"/>
      <c r="G2" s="1669"/>
      <c r="H2" s="1669"/>
      <c r="I2" s="1669"/>
      <c r="J2" s="1669"/>
      <c r="K2" s="1670"/>
    </row>
    <row r="3" spans="1:19" s="37" customFormat="1" ht="16.5" customHeight="1">
      <c r="A3" s="143"/>
      <c r="B3" s="1425" t="s">
        <v>404</v>
      </c>
      <c r="C3" s="1672" t="s">
        <v>5</v>
      </c>
      <c r="D3" s="1673"/>
      <c r="E3" s="1673"/>
      <c r="F3" s="1673"/>
      <c r="G3" s="1674"/>
      <c r="H3" s="1678" t="s">
        <v>411</v>
      </c>
      <c r="I3" s="1680" t="s">
        <v>407</v>
      </c>
      <c r="J3" s="1682" t="s">
        <v>1004</v>
      </c>
      <c r="K3" s="1671" t="s">
        <v>403</v>
      </c>
    </row>
    <row r="4" spans="1:19" s="37" customFormat="1" ht="15" customHeight="1">
      <c r="A4" s="143"/>
      <c r="B4" s="1425"/>
      <c r="C4" s="96" t="s">
        <v>408</v>
      </c>
      <c r="D4" s="96" t="s">
        <v>888</v>
      </c>
      <c r="E4" s="96" t="s">
        <v>409</v>
      </c>
      <c r="F4" s="96" t="s">
        <v>410</v>
      </c>
      <c r="G4" s="96" t="s">
        <v>406</v>
      </c>
      <c r="H4" s="1679"/>
      <c r="I4" s="1681"/>
      <c r="J4" s="1683"/>
      <c r="K4" s="1671"/>
    </row>
    <row r="5" spans="1:19" s="37" customFormat="1" ht="15" customHeight="1">
      <c r="A5" s="143"/>
      <c r="B5" s="1426" t="s">
        <v>413</v>
      </c>
      <c r="C5" s="98">
        <f>'14-19'!D33</f>
        <v>65931.5</v>
      </c>
      <c r="D5" s="98">
        <f>'14-19'!E33</f>
        <v>1150</v>
      </c>
      <c r="E5" s="98">
        <f>'14-19'!F33</f>
        <v>7087.3549999999996</v>
      </c>
      <c r="F5" s="98">
        <f>'14-19'!G33</f>
        <v>236.00800000000001</v>
      </c>
      <c r="G5" s="98">
        <f>'14-19'!H33</f>
        <v>74404.862999999998</v>
      </c>
      <c r="H5" s="98">
        <f>'14-19'!I33</f>
        <v>0</v>
      </c>
      <c r="I5" s="98">
        <f>'14-19'!J33</f>
        <v>27069.5</v>
      </c>
      <c r="J5" s="98">
        <f>'14-19'!K33</f>
        <v>2401.2719999999999</v>
      </c>
      <c r="K5" s="1427">
        <f>'14-19'!L33</f>
        <v>103875.63499999999</v>
      </c>
      <c r="L5" s="319"/>
      <c r="M5" s="319"/>
      <c r="N5" s="319"/>
      <c r="O5" s="319"/>
      <c r="P5" s="319"/>
      <c r="Q5" s="319"/>
      <c r="R5" s="319"/>
      <c r="S5" s="542" t="s">
        <v>624</v>
      </c>
    </row>
    <row r="6" spans="1:19" s="37" customFormat="1" ht="15" customHeight="1">
      <c r="B6" s="1426" t="s">
        <v>414</v>
      </c>
      <c r="C6" s="98">
        <f>'14-19'!D34</f>
        <v>74173</v>
      </c>
      <c r="D6" s="98">
        <f>'14-19'!E34</f>
        <v>1830</v>
      </c>
      <c r="E6" s="98">
        <f>'14-19'!F34</f>
        <v>10598.743999999999</v>
      </c>
      <c r="F6" s="98">
        <f>'14-19'!G34</f>
        <v>273.70100000000002</v>
      </c>
      <c r="G6" s="98">
        <f>'14-19'!H34</f>
        <v>86875.445000000007</v>
      </c>
      <c r="H6" s="98">
        <f>'14-19'!I34</f>
        <v>0</v>
      </c>
      <c r="I6" s="98">
        <f>'14-19'!J34</f>
        <v>3606</v>
      </c>
      <c r="J6" s="98">
        <f>'14-19'!K34</f>
        <v>92921.93299999999</v>
      </c>
      <c r="K6" s="1427">
        <f>'14-19'!L34</f>
        <v>183403.378</v>
      </c>
      <c r="L6" s="319"/>
      <c r="M6" s="319"/>
      <c r="N6" s="319"/>
      <c r="O6" s="319"/>
      <c r="P6" s="319"/>
      <c r="Q6" s="319"/>
      <c r="R6" s="319"/>
      <c r="S6" s="319"/>
    </row>
    <row r="7" spans="1:19" s="37" customFormat="1" ht="15" customHeight="1">
      <c r="B7" s="1426" t="s">
        <v>415</v>
      </c>
      <c r="C7" s="98">
        <f>'14-19'!D35</f>
        <v>61900</v>
      </c>
      <c r="D7" s="98">
        <f>'14-19'!E35</f>
        <v>3640.0000000000005</v>
      </c>
      <c r="E7" s="98">
        <f>'14-19'!F35</f>
        <v>7237.9100000000017</v>
      </c>
      <c r="F7" s="98">
        <f>'14-19'!G35</f>
        <v>0</v>
      </c>
      <c r="G7" s="98">
        <f>'14-19'!H35</f>
        <v>72777.91</v>
      </c>
      <c r="H7" s="98">
        <f>'14-19'!I35</f>
        <v>6780</v>
      </c>
      <c r="I7" s="98">
        <f>'14-19'!J35</f>
        <v>15646.720000000003</v>
      </c>
      <c r="J7" s="98">
        <f>'14-19'!K35</f>
        <v>1632.2999999999997</v>
      </c>
      <c r="K7" s="1427">
        <f>'14-19'!L35</f>
        <v>96836.930000000008</v>
      </c>
      <c r="L7" s="319"/>
      <c r="M7" s="319"/>
      <c r="N7" s="319"/>
      <c r="O7" s="319"/>
      <c r="P7" s="319"/>
      <c r="Q7" s="319"/>
      <c r="R7" s="319"/>
      <c r="S7" s="319"/>
    </row>
    <row r="8" spans="1:19" s="37" customFormat="1" ht="15" customHeight="1">
      <c r="B8" s="1426" t="s">
        <v>433</v>
      </c>
      <c r="C8" s="98">
        <f>'14-19'!D36</f>
        <v>202004.5</v>
      </c>
      <c r="D8" s="98">
        <f>'14-19'!E36</f>
        <v>6620</v>
      </c>
      <c r="E8" s="98">
        <f>'14-19'!F36</f>
        <v>24924.008999999998</v>
      </c>
      <c r="F8" s="98">
        <f>'14-19'!G36</f>
        <v>509.70900000000006</v>
      </c>
      <c r="G8" s="98">
        <f>'14-19'!H36</f>
        <v>234058.21800000002</v>
      </c>
      <c r="H8" s="98">
        <f>'14-19'!I36</f>
        <v>6780</v>
      </c>
      <c r="I8" s="98">
        <f>'14-19'!J36</f>
        <v>46322.22</v>
      </c>
      <c r="J8" s="98">
        <f>'14-19'!K36</f>
        <v>96955.50499999999</v>
      </c>
      <c r="K8" s="1427">
        <f>'14-19'!L36</f>
        <v>384115.94299999997</v>
      </c>
      <c r="L8" s="319"/>
      <c r="M8" s="319"/>
      <c r="N8" s="319"/>
      <c r="O8" s="319"/>
      <c r="P8" s="319"/>
      <c r="Q8" s="319"/>
      <c r="R8" s="319"/>
      <c r="S8" s="319"/>
    </row>
    <row r="9" spans="1:19">
      <c r="A9" s="21"/>
      <c r="B9" s="1684" t="s">
        <v>1533</v>
      </c>
      <c r="C9" s="1685"/>
      <c r="D9" s="1685"/>
      <c r="E9" s="1685"/>
      <c r="F9" s="1685"/>
      <c r="G9" s="1685"/>
      <c r="H9" s="1685"/>
      <c r="I9" s="1685"/>
      <c r="J9" s="1685"/>
      <c r="K9" s="1686"/>
    </row>
    <row r="10" spans="1:19">
      <c r="A10" s="1423"/>
      <c r="B10" s="1687"/>
      <c r="C10" s="1688"/>
      <c r="D10" s="1688"/>
      <c r="E10" s="1688"/>
      <c r="F10" s="1688"/>
      <c r="G10" s="1688"/>
      <c r="H10" s="1688"/>
      <c r="I10" s="1688"/>
      <c r="J10" s="1688"/>
      <c r="K10" s="1689"/>
    </row>
    <row r="11" spans="1:19">
      <c r="A11" s="1423"/>
      <c r="B11" s="1675"/>
      <c r="K11" s="316"/>
    </row>
    <row r="12" spans="1:19">
      <c r="A12" s="1423"/>
      <c r="B12" s="1675"/>
      <c r="K12" s="316"/>
    </row>
    <row r="13" spans="1:19">
      <c r="A13" s="1423"/>
      <c r="B13" s="1675"/>
      <c r="K13" s="316"/>
    </row>
    <row r="14" spans="1:19">
      <c r="A14" s="1423"/>
      <c r="B14" s="1675"/>
      <c r="K14" s="316"/>
    </row>
    <row r="15" spans="1:19">
      <c r="A15" s="1423"/>
      <c r="B15" s="1675"/>
      <c r="K15" s="316"/>
    </row>
    <row r="16" spans="1:19">
      <c r="A16" s="1423"/>
      <c r="B16" s="1675"/>
      <c r="K16" s="316"/>
    </row>
    <row r="17" spans="1:16">
      <c r="A17" s="1423"/>
      <c r="B17" s="1675"/>
      <c r="K17" s="316"/>
    </row>
    <row r="18" spans="1:16" ht="41.25" customHeight="1">
      <c r="A18" s="1424">
        <v>43252</v>
      </c>
      <c r="B18" s="1676"/>
      <c r="C18" s="413"/>
      <c r="D18" s="413"/>
      <c r="E18" s="413"/>
      <c r="F18" s="413"/>
      <c r="G18" s="413"/>
      <c r="H18" s="413"/>
      <c r="I18" s="413"/>
      <c r="J18" s="413"/>
      <c r="K18" s="316"/>
      <c r="P18" s="1">
        <f>K5*100/$K$8</f>
        <v>27.042781455181622</v>
      </c>
    </row>
    <row r="19" spans="1:16">
      <c r="A19" s="1423"/>
      <c r="B19" s="1675"/>
      <c r="K19" s="316"/>
      <c r="P19" s="1">
        <f>K6*100/$K$8</f>
        <v>47.746879904956202</v>
      </c>
    </row>
    <row r="20" spans="1:16">
      <c r="A20" s="1423"/>
      <c r="B20" s="1675"/>
      <c r="K20" s="316"/>
      <c r="P20" s="1">
        <f>K7*100/$K$8</f>
        <v>25.210338639862186</v>
      </c>
    </row>
    <row r="21" spans="1:16">
      <c r="A21" s="1423"/>
      <c r="B21" s="1675"/>
      <c r="K21" s="316"/>
      <c r="P21" s="1">
        <f>K8*100/$K$8</f>
        <v>100</v>
      </c>
    </row>
    <row r="22" spans="1:16">
      <c r="A22" s="1423"/>
      <c r="B22" s="1675"/>
      <c r="K22" s="316"/>
    </row>
    <row r="23" spans="1:16">
      <c r="A23" s="1423"/>
      <c r="B23" s="1675"/>
      <c r="K23" s="316"/>
    </row>
    <row r="24" spans="1:16">
      <c r="A24" s="1423"/>
      <c r="B24" s="1675"/>
      <c r="K24" s="316"/>
    </row>
    <row r="25" spans="1:16">
      <c r="A25" s="1423"/>
      <c r="B25" s="1675"/>
      <c r="K25" s="316"/>
    </row>
    <row r="26" spans="1:16">
      <c r="A26" s="1423"/>
      <c r="B26" s="1675"/>
      <c r="K26" s="316"/>
    </row>
    <row r="27" spans="1:16">
      <c r="A27" s="1423"/>
      <c r="B27" s="1675"/>
      <c r="C27" s="143" t="s">
        <v>413</v>
      </c>
      <c r="D27" s="143"/>
      <c r="E27" s="16">
        <f>K5</f>
        <v>103875.63499999999</v>
      </c>
      <c r="K27" s="316"/>
    </row>
    <row r="28" spans="1:16">
      <c r="A28" s="1423"/>
      <c r="B28" s="1675"/>
      <c r="C28" s="143" t="s">
        <v>414</v>
      </c>
      <c r="D28" s="143"/>
      <c r="E28" s="16">
        <f>K6</f>
        <v>183403.378</v>
      </c>
      <c r="K28" s="316"/>
    </row>
    <row r="29" spans="1:16">
      <c r="A29" s="1423"/>
      <c r="B29" s="1675"/>
      <c r="C29" s="143" t="s">
        <v>415</v>
      </c>
      <c r="D29" s="143"/>
      <c r="E29" s="16">
        <f>K7</f>
        <v>96836.930000000008</v>
      </c>
      <c r="K29" s="316"/>
    </row>
    <row r="30" spans="1:16">
      <c r="A30" s="1423"/>
      <c r="B30" s="1675"/>
      <c r="K30" s="316"/>
    </row>
    <row r="31" spans="1:16">
      <c r="A31" s="1423"/>
      <c r="B31" s="1675"/>
      <c r="C31" s="1" t="s">
        <v>623</v>
      </c>
      <c r="K31" s="316"/>
    </row>
    <row r="32" spans="1:16">
      <c r="A32" s="1423"/>
      <c r="B32" s="1675"/>
      <c r="K32" s="316"/>
    </row>
    <row r="33" spans="1:11">
      <c r="A33" s="1423"/>
      <c r="B33" s="1675"/>
      <c r="K33" s="316"/>
    </row>
    <row r="34" spans="1:11" s="21" customFormat="1" ht="17.25" customHeight="1" thickBot="1">
      <c r="A34" s="1423"/>
      <c r="B34" s="1677"/>
      <c r="C34" s="1421"/>
      <c r="D34" s="1421"/>
      <c r="E34" s="1421"/>
      <c r="F34" s="1421"/>
      <c r="G34" s="1421"/>
      <c r="H34" s="1421"/>
      <c r="I34" s="1421"/>
      <c r="J34" s="1421"/>
      <c r="K34" s="1428">
        <v>4</v>
      </c>
    </row>
    <row r="35" spans="1:11" ht="21.75" customHeight="1">
      <c r="B35" s="59"/>
      <c r="C35" s="59"/>
      <c r="D35" s="59"/>
      <c r="E35" s="59"/>
      <c r="F35" s="59"/>
      <c r="G35" s="59"/>
      <c r="H35" s="59"/>
      <c r="I35" s="21"/>
      <c r="J35" s="21"/>
      <c r="K35" s="21"/>
    </row>
    <row r="36" spans="1:11">
      <c r="A36" s="128"/>
      <c r="B36" s="38"/>
      <c r="C36" s="38"/>
      <c r="D36" s="38"/>
      <c r="E36" s="38"/>
      <c r="F36" s="38"/>
      <c r="G36" s="59"/>
      <c r="H36" s="59"/>
      <c r="I36" s="21"/>
      <c r="J36" s="21"/>
      <c r="K36" s="21"/>
    </row>
    <row r="37" spans="1:11" s="59" customFormat="1">
      <c r="A37" s="136"/>
      <c r="I37" s="21"/>
      <c r="J37" s="21"/>
      <c r="K37" s="21"/>
    </row>
    <row r="38" spans="1:11" s="59" customFormat="1">
      <c r="A38" s="136"/>
      <c r="B38" s="38"/>
      <c r="C38" s="38"/>
      <c r="D38" s="38"/>
      <c r="E38" s="38"/>
      <c r="F38" s="38"/>
      <c r="I38" s="21"/>
      <c r="J38" s="21"/>
      <c r="K38" s="21"/>
    </row>
    <row r="39" spans="1:11" s="59" customFormat="1">
      <c r="A39" s="136"/>
      <c r="I39" s="21"/>
      <c r="J39" s="21"/>
      <c r="K39" s="21"/>
    </row>
    <row r="40" spans="1:11" s="59" customFormat="1">
      <c r="A40" s="136"/>
      <c r="B40" s="38"/>
      <c r="C40" s="38"/>
      <c r="D40" s="38"/>
      <c r="E40" s="38"/>
      <c r="F40" s="38"/>
      <c r="I40" s="21"/>
      <c r="J40" s="21"/>
      <c r="K40" s="21"/>
    </row>
    <row r="41" spans="1:11" s="21" customFormat="1">
      <c r="A41" s="136"/>
      <c r="B41" s="59"/>
      <c r="C41" s="59"/>
      <c r="D41" s="59"/>
      <c r="E41" s="59"/>
      <c r="F41" s="59"/>
      <c r="G41" s="59"/>
      <c r="H41" s="59"/>
    </row>
    <row r="42" spans="1:11">
      <c r="B42" s="21"/>
      <c r="C42" s="38"/>
      <c r="D42" s="38"/>
      <c r="E42" s="38"/>
      <c r="F42" s="38"/>
      <c r="G42" s="59"/>
      <c r="H42" s="59"/>
      <c r="I42" s="21"/>
      <c r="J42" s="21"/>
      <c r="K42" s="21"/>
    </row>
    <row r="43" spans="1:11" s="21" customFormat="1" ht="12" customHeight="1">
      <c r="C43" s="59"/>
      <c r="D43" s="59"/>
      <c r="E43" s="59"/>
      <c r="F43" s="59"/>
      <c r="G43" s="59"/>
      <c r="H43" s="59"/>
    </row>
    <row r="44" spans="1:11" s="21" customFormat="1" ht="12" customHeight="1">
      <c r="C44" s="38" t="s">
        <v>415</v>
      </c>
      <c r="D44" s="38"/>
      <c r="E44" s="38" t="s">
        <v>413</v>
      </c>
      <c r="F44" s="38" t="s">
        <v>414</v>
      </c>
      <c r="G44" s="59"/>
      <c r="H44" s="59"/>
    </row>
    <row r="45" spans="1:11" s="21" customFormat="1">
      <c r="C45" s="39">
        <v>69356.600000000006</v>
      </c>
      <c r="D45" s="39"/>
      <c r="E45" s="39">
        <v>94753.2</v>
      </c>
      <c r="F45" s="39">
        <v>90902.99</v>
      </c>
      <c r="G45" s="122"/>
    </row>
    <row r="46" spans="1:11" s="21" customFormat="1">
      <c r="C46" s="38"/>
      <c r="D46" s="38"/>
      <c r="E46" s="143"/>
      <c r="F46" s="16"/>
    </row>
    <row r="47" spans="1:11" s="21" customFormat="1">
      <c r="E47" s="143"/>
      <c r="F47" s="16"/>
    </row>
    <row r="48" spans="1:11">
      <c r="E48" s="143"/>
      <c r="F48" s="16"/>
    </row>
    <row r="51" ht="21.75" customHeight="1"/>
    <row r="435" ht="23.25" customHeight="1"/>
  </sheetData>
  <mergeCells count="9">
    <mergeCell ref="B1:K1"/>
    <mergeCell ref="B2:K2"/>
    <mergeCell ref="K3:K4"/>
    <mergeCell ref="C3:G3"/>
    <mergeCell ref="B11:B34"/>
    <mergeCell ref="H3:H4"/>
    <mergeCell ref="I3:I4"/>
    <mergeCell ref="J3:J4"/>
    <mergeCell ref="B9:K10"/>
  </mergeCells>
  <phoneticPr fontId="17" type="noConversion"/>
  <printOptions horizontalCentered="1" verticalCentered="1"/>
  <pageMargins left="0.75" right="0.75" top="1" bottom="1" header="0.5" footer="0.5"/>
  <pageSetup scale="64"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2060"/>
  </sheetPr>
  <dimension ref="A1:J435"/>
  <sheetViews>
    <sheetView view="pageBreakPreview" zoomScale="64" zoomScaleNormal="115" zoomScaleSheetLayoutView="64" workbookViewId="0">
      <selection activeCell="J28" sqref="J28"/>
    </sheetView>
  </sheetViews>
  <sheetFormatPr defaultRowHeight="12.75"/>
  <cols>
    <col min="1" max="1" width="13.28515625" customWidth="1"/>
    <col min="2" max="2" width="6.85546875" customWidth="1"/>
    <col min="3" max="3" width="18.5703125" customWidth="1"/>
    <col min="4" max="4" width="8.85546875" customWidth="1"/>
    <col min="5" max="5" width="13.5703125" customWidth="1"/>
    <col min="6" max="6" width="9.28515625" customWidth="1"/>
    <col min="7" max="7" width="14.140625" customWidth="1"/>
    <col min="8" max="8" width="20" customWidth="1"/>
    <col min="9" max="9" width="3" customWidth="1"/>
  </cols>
  <sheetData>
    <row r="1" spans="1:8" s="1" customFormat="1" ht="21" customHeight="1" thickBot="1">
      <c r="A1" s="1690" t="str">
        <f>"6. Transmission Lines Added during" &amp;TEXT(TY," mmm-yyyy") &amp;" (Ckms)"</f>
        <v>6. Transmission Lines Added during Jun-2021 (Ckms)</v>
      </c>
      <c r="B1" s="1691"/>
      <c r="C1" s="1691"/>
      <c r="D1" s="1691"/>
      <c r="E1" s="1691"/>
      <c r="F1" s="1691"/>
      <c r="G1" s="1691"/>
      <c r="H1" s="1692"/>
    </row>
    <row r="2" spans="1:8" ht="25.5" customHeight="1">
      <c r="A2" s="14"/>
      <c r="B2" s="1"/>
      <c r="C2" s="1"/>
      <c r="D2" s="1"/>
      <c r="E2" s="1"/>
      <c r="F2" s="1"/>
      <c r="G2" s="1"/>
      <c r="H2" s="15"/>
    </row>
    <row r="3" spans="1:8">
      <c r="A3" s="14"/>
      <c r="B3" s="1"/>
      <c r="C3" s="13" t="s">
        <v>397</v>
      </c>
      <c r="D3" s="1179">
        <f>LY</f>
        <v>43983</v>
      </c>
      <c r="E3" s="1180"/>
      <c r="F3" s="1179">
        <f>TY</f>
        <v>44348</v>
      </c>
      <c r="G3" s="1180"/>
      <c r="H3" s="202"/>
    </row>
    <row r="4" spans="1:8">
      <c r="A4" s="14"/>
      <c r="B4" s="1"/>
      <c r="C4" s="23" t="s">
        <v>396</v>
      </c>
      <c r="D4" s="1181">
        <v>0</v>
      </c>
      <c r="E4" s="1182"/>
      <c r="F4" s="1185">
        <f>'20(1)'!J10</f>
        <v>0</v>
      </c>
      <c r="G4" s="1184"/>
      <c r="H4" s="202"/>
    </row>
    <row r="5" spans="1:8">
      <c r="A5" s="14"/>
      <c r="B5" s="1"/>
      <c r="C5" s="23" t="s">
        <v>527</v>
      </c>
      <c r="D5" s="1181">
        <v>0</v>
      </c>
      <c r="E5" s="1182"/>
      <c r="F5" s="1185">
        <f>'20(1)'!F10</f>
        <v>0</v>
      </c>
      <c r="G5" s="1184"/>
      <c r="H5" s="203"/>
    </row>
    <row r="6" spans="1:8">
      <c r="A6" s="14"/>
      <c r="B6" s="1"/>
      <c r="C6" s="20" t="s">
        <v>424</v>
      </c>
      <c r="D6" s="1183">
        <v>1</v>
      </c>
      <c r="E6" s="1184"/>
      <c r="F6" s="1183">
        <f>'20(1)'!N10</f>
        <v>0</v>
      </c>
      <c r="G6" s="1184"/>
      <c r="H6" s="203"/>
    </row>
    <row r="7" spans="1:8">
      <c r="A7" s="14"/>
      <c r="B7" s="1"/>
      <c r="C7" s="20" t="s">
        <v>423</v>
      </c>
      <c r="D7" s="1183">
        <v>0</v>
      </c>
      <c r="E7" s="1184"/>
      <c r="F7" s="1185">
        <f>'20(1)'!R10</f>
        <v>328</v>
      </c>
      <c r="G7" s="1184"/>
      <c r="H7" s="203"/>
    </row>
    <row r="8" spans="1:8">
      <c r="A8" s="14"/>
      <c r="B8" s="1"/>
      <c r="C8" s="4" t="s">
        <v>422</v>
      </c>
      <c r="D8" s="1183">
        <v>391</v>
      </c>
      <c r="E8" s="1184"/>
      <c r="F8" s="1185">
        <f>'20(1)'!V10</f>
        <v>523</v>
      </c>
      <c r="G8" s="1184"/>
      <c r="H8" s="203"/>
    </row>
    <row r="9" spans="1:8">
      <c r="A9" s="14"/>
      <c r="B9" s="1"/>
      <c r="C9" s="20" t="s">
        <v>433</v>
      </c>
      <c r="D9" s="1183">
        <f>(D5+D6+D7+D8)</f>
        <v>392</v>
      </c>
      <c r="E9" s="1184"/>
      <c r="F9" s="1183">
        <f>SUM(F5:G8)</f>
        <v>851</v>
      </c>
      <c r="G9" s="1184"/>
      <c r="H9" s="203"/>
    </row>
    <row r="10" spans="1:8" ht="26.25" customHeight="1">
      <c r="A10" s="14"/>
      <c r="B10" s="1"/>
      <c r="C10" s="24"/>
      <c r="D10" s="65"/>
      <c r="E10" s="65"/>
      <c r="F10" s="65"/>
      <c r="G10" s="9"/>
      <c r="H10" s="203"/>
    </row>
    <row r="11" spans="1:8">
      <c r="A11" s="14"/>
      <c r="B11" s="1"/>
      <c r="C11" s="1"/>
      <c r="D11" s="1"/>
      <c r="E11" s="1"/>
      <c r="F11" s="1"/>
      <c r="G11" s="1"/>
      <c r="H11" s="15"/>
    </row>
    <row r="12" spans="1:8">
      <c r="A12" s="14"/>
      <c r="B12" s="1"/>
      <c r="C12" s="1"/>
      <c r="D12" s="1"/>
      <c r="E12" s="1"/>
      <c r="F12" s="1"/>
      <c r="G12" s="1"/>
      <c r="H12" s="15"/>
    </row>
    <row r="13" spans="1:8">
      <c r="A13" s="14"/>
      <c r="B13" s="1"/>
      <c r="C13" s="1"/>
      <c r="D13" s="1"/>
      <c r="E13" s="1"/>
      <c r="F13" s="1"/>
      <c r="G13" s="1"/>
      <c r="H13" s="15"/>
    </row>
    <row r="14" spans="1:8">
      <c r="A14" s="14"/>
      <c r="B14" s="1"/>
      <c r="C14" s="1"/>
      <c r="D14" s="1"/>
      <c r="E14" s="1"/>
      <c r="F14" s="1"/>
      <c r="G14" s="1"/>
      <c r="H14" s="15"/>
    </row>
    <row r="15" spans="1:8">
      <c r="A15" s="14"/>
      <c r="B15" s="1"/>
      <c r="C15" s="1"/>
      <c r="D15" s="1"/>
      <c r="E15" s="1"/>
      <c r="F15" s="1"/>
      <c r="G15" s="1"/>
      <c r="H15" s="15"/>
    </row>
    <row r="16" spans="1:8">
      <c r="A16" s="14"/>
      <c r="B16" s="1"/>
      <c r="C16" s="1"/>
      <c r="D16" s="1"/>
      <c r="E16" s="1"/>
      <c r="F16" s="1"/>
      <c r="G16" s="1"/>
      <c r="H16" s="15"/>
    </row>
    <row r="17" spans="1:10" ht="25.5" customHeight="1">
      <c r="A17" s="14"/>
      <c r="B17" s="1"/>
      <c r="C17" s="1"/>
      <c r="D17" s="1"/>
      <c r="E17" s="1"/>
      <c r="F17" s="1"/>
      <c r="G17" s="1"/>
      <c r="H17" s="15"/>
    </row>
    <row r="18" spans="1:10" ht="2.25" hidden="1" customHeight="1">
      <c r="A18" s="415">
        <v>43252</v>
      </c>
      <c r="B18" s="413"/>
      <c r="C18" s="413"/>
      <c r="D18" s="413"/>
      <c r="E18" s="413"/>
      <c r="F18" s="413"/>
      <c r="G18" s="413"/>
      <c r="H18" s="416"/>
      <c r="I18" s="411"/>
      <c r="J18" s="411"/>
    </row>
    <row r="19" spans="1:10">
      <c r="A19" s="14"/>
      <c r="B19" s="1"/>
      <c r="C19" s="1"/>
      <c r="D19" s="1"/>
      <c r="E19" s="1"/>
      <c r="F19" s="1"/>
      <c r="G19" s="1"/>
      <c r="H19" s="15"/>
    </row>
    <row r="20" spans="1:10">
      <c r="A20" s="14"/>
      <c r="B20" s="1"/>
      <c r="C20" s="1"/>
      <c r="D20" s="1"/>
      <c r="E20" s="1"/>
      <c r="F20" s="1"/>
      <c r="G20" s="1"/>
      <c r="H20" s="15"/>
    </row>
    <row r="21" spans="1:10">
      <c r="A21" s="14"/>
      <c r="B21" s="1"/>
      <c r="C21" s="1"/>
      <c r="D21" s="1"/>
      <c r="E21" s="1"/>
      <c r="F21" s="1"/>
      <c r="G21" s="1"/>
      <c r="H21" s="15"/>
    </row>
    <row r="22" spans="1:10">
      <c r="A22" s="14"/>
      <c r="B22" s="1"/>
      <c r="C22" s="1"/>
      <c r="D22" s="1"/>
      <c r="E22" s="1"/>
      <c r="F22" s="1"/>
      <c r="G22" s="1"/>
      <c r="H22" s="15"/>
    </row>
    <row r="23" spans="1:10">
      <c r="A23" s="14"/>
      <c r="B23" s="1"/>
      <c r="C23" s="1"/>
      <c r="D23" s="1"/>
      <c r="E23" s="1"/>
      <c r="F23" s="1"/>
      <c r="G23" s="1"/>
      <c r="H23" s="15"/>
    </row>
    <row r="24" spans="1:10" ht="26.25" customHeight="1" thickBot="1">
      <c r="A24" s="14"/>
      <c r="B24" s="1"/>
      <c r="C24" s="1"/>
      <c r="D24" s="1"/>
      <c r="E24" s="1"/>
      <c r="F24" s="1"/>
      <c r="G24" s="1"/>
      <c r="H24" s="15"/>
    </row>
    <row r="25" spans="1:10" ht="29.25" customHeight="1" thickBot="1">
      <c r="A25" s="1693" t="str">
        <f>"Transmission Lines Added during " &amp;TEXT(CLY," mmm-yyyy")  &amp;" &amp;"   &amp;TEXT(CTY," mmm-yyyy")  &amp;"  (Ckms)"</f>
        <v>Transmission Lines Added during Apr-20 to Jun-20 &amp;Apr-21 to Jun-21  (Ckms)</v>
      </c>
      <c r="B25" s="1694"/>
      <c r="C25" s="1694"/>
      <c r="D25" s="1694"/>
      <c r="E25" s="1694"/>
      <c r="F25" s="1694"/>
      <c r="G25" s="1694"/>
      <c r="H25" s="1695"/>
    </row>
    <row r="26" spans="1:10" ht="21" customHeight="1">
      <c r="A26" s="14"/>
      <c r="B26" s="1"/>
      <c r="C26" s="1"/>
      <c r="D26" s="1"/>
      <c r="E26" s="1"/>
      <c r="F26" s="1"/>
      <c r="G26" s="1"/>
      <c r="H26" s="15"/>
    </row>
    <row r="27" spans="1:10">
      <c r="A27" s="14"/>
      <c r="B27" s="1"/>
      <c r="C27" s="13" t="s">
        <v>397</v>
      </c>
      <c r="D27" s="1696" t="str">
        <f>CLY</f>
        <v>Apr-20 to Jun-20</v>
      </c>
      <c r="E27" s="1697"/>
      <c r="F27" s="1698" t="str">
        <f>CTY</f>
        <v>Apr-21 to Jun-21</v>
      </c>
      <c r="G27" s="1699"/>
      <c r="H27" s="204"/>
    </row>
    <row r="28" spans="1:10">
      <c r="A28" s="14"/>
      <c r="B28" s="1"/>
      <c r="C28" s="23" t="s">
        <v>396</v>
      </c>
      <c r="D28" s="1181">
        <v>0</v>
      </c>
      <c r="E28" s="1182"/>
      <c r="F28" s="1185">
        <f>'20(1)'!J12</f>
        <v>0</v>
      </c>
      <c r="G28" s="1184"/>
      <c r="H28" s="203"/>
    </row>
    <row r="29" spans="1:10">
      <c r="A29" s="14"/>
      <c r="B29" s="1"/>
      <c r="C29" s="23" t="s">
        <v>527</v>
      </c>
      <c r="D29" s="1181">
        <v>0</v>
      </c>
      <c r="E29" s="1182"/>
      <c r="F29" s="1185">
        <f>'20(1)'!F12</f>
        <v>0</v>
      </c>
      <c r="G29" s="1184"/>
      <c r="H29" s="203"/>
    </row>
    <row r="30" spans="1:10">
      <c r="A30" s="14"/>
      <c r="B30" s="1"/>
      <c r="C30" s="20" t="s">
        <v>424</v>
      </c>
      <c r="D30" s="1183">
        <v>2</v>
      </c>
      <c r="E30" s="1184"/>
      <c r="F30" s="1183">
        <f>'20(1)'!N12</f>
        <v>268</v>
      </c>
      <c r="G30" s="1184"/>
      <c r="H30" s="203"/>
    </row>
    <row r="31" spans="1:10">
      <c r="A31" s="14"/>
      <c r="B31" s="1"/>
      <c r="C31" s="20" t="s">
        <v>452</v>
      </c>
      <c r="D31" s="1183">
        <v>378</v>
      </c>
      <c r="E31" s="1184"/>
      <c r="F31" s="1185">
        <f>'20(1)'!R12</f>
        <v>642</v>
      </c>
      <c r="G31" s="1184"/>
      <c r="H31" s="203"/>
    </row>
    <row r="32" spans="1:10">
      <c r="A32" s="14"/>
      <c r="B32" s="1"/>
      <c r="C32" s="4" t="s">
        <v>422</v>
      </c>
      <c r="D32" s="1183">
        <v>711</v>
      </c>
      <c r="E32" s="1184"/>
      <c r="F32" s="1185">
        <f>'20(1)'!V12</f>
        <v>640</v>
      </c>
      <c r="G32" s="1184"/>
      <c r="H32" s="203"/>
    </row>
    <row r="33" spans="1:8">
      <c r="A33" s="14"/>
      <c r="B33" s="1"/>
      <c r="C33" s="20" t="s">
        <v>433</v>
      </c>
      <c r="D33" s="1183">
        <f>SUM(D28:D32)</f>
        <v>1091</v>
      </c>
      <c r="E33" s="1184"/>
      <c r="F33" s="1183">
        <f>SUM(F28:F32)</f>
        <v>1550</v>
      </c>
      <c r="G33" s="1184"/>
      <c r="H33" s="203"/>
    </row>
    <row r="34" spans="1:8" ht="25.5" customHeight="1">
      <c r="A34" s="14"/>
      <c r="B34" s="1"/>
      <c r="C34" s="1"/>
      <c r="D34" s="1"/>
      <c r="E34" s="1"/>
      <c r="F34" s="1"/>
      <c r="G34" s="1"/>
      <c r="H34" s="15"/>
    </row>
    <row r="35" spans="1:8">
      <c r="A35" s="14"/>
      <c r="B35" s="1"/>
      <c r="C35" s="1"/>
      <c r="D35" s="1"/>
      <c r="E35" s="1"/>
      <c r="F35" s="1"/>
      <c r="G35" s="1"/>
      <c r="H35" s="15"/>
    </row>
    <row r="36" spans="1:8">
      <c r="A36" s="14"/>
      <c r="B36" s="1"/>
      <c r="C36" s="1"/>
      <c r="D36" s="1"/>
      <c r="E36" s="1"/>
      <c r="F36" s="1"/>
      <c r="G36" s="1"/>
      <c r="H36" s="15"/>
    </row>
    <row r="37" spans="1:8">
      <c r="A37" s="14"/>
      <c r="B37" s="1"/>
      <c r="C37" s="1"/>
      <c r="D37" s="1"/>
      <c r="E37" s="1"/>
      <c r="F37" s="1"/>
      <c r="G37" s="1"/>
      <c r="H37" s="15"/>
    </row>
    <row r="38" spans="1:8">
      <c r="A38" s="14"/>
      <c r="B38" s="1"/>
      <c r="C38" s="1"/>
      <c r="D38" s="1"/>
      <c r="E38" s="1"/>
      <c r="F38" s="1"/>
      <c r="G38" s="1"/>
      <c r="H38" s="15"/>
    </row>
    <row r="39" spans="1:8">
      <c r="A39" s="14"/>
      <c r="B39" s="1"/>
      <c r="C39" s="1"/>
      <c r="D39" s="1"/>
      <c r="E39" s="1"/>
      <c r="F39" s="1"/>
      <c r="G39" s="1"/>
      <c r="H39" s="15"/>
    </row>
    <row r="40" spans="1:8">
      <c r="A40" s="14"/>
      <c r="B40" s="1"/>
      <c r="C40" s="1"/>
      <c r="D40" s="1"/>
      <c r="E40" s="1"/>
      <c r="F40" s="1"/>
      <c r="G40" s="1"/>
      <c r="H40" s="15"/>
    </row>
    <row r="41" spans="1:8">
      <c r="A41" s="14"/>
      <c r="B41" s="1"/>
      <c r="C41" s="1"/>
      <c r="D41" s="1"/>
      <c r="E41" s="1"/>
      <c r="F41" s="1"/>
      <c r="G41" s="1"/>
      <c r="H41" s="15"/>
    </row>
    <row r="42" spans="1:8">
      <c r="A42" s="14"/>
      <c r="B42" s="1"/>
      <c r="C42" s="1"/>
      <c r="D42" s="1"/>
      <c r="E42" s="1"/>
      <c r="F42" s="1"/>
      <c r="G42" s="1"/>
      <c r="H42" s="15"/>
    </row>
    <row r="43" spans="1:8">
      <c r="A43" s="14"/>
      <c r="B43" s="1"/>
      <c r="C43" s="1"/>
      <c r="D43" s="1"/>
      <c r="E43" s="1"/>
      <c r="F43" s="1"/>
      <c r="G43" s="1"/>
      <c r="H43" s="15"/>
    </row>
    <row r="44" spans="1:8">
      <c r="A44" s="14"/>
      <c r="B44" s="1"/>
      <c r="C44" s="1"/>
      <c r="D44" s="1"/>
      <c r="E44" s="1"/>
      <c r="F44" s="1"/>
      <c r="G44" s="1"/>
      <c r="H44" s="15"/>
    </row>
    <row r="45" spans="1:8">
      <c r="A45" s="14"/>
      <c r="B45" s="1"/>
      <c r="C45" s="1"/>
      <c r="D45" s="1"/>
      <c r="E45" s="1"/>
      <c r="F45" s="1"/>
      <c r="G45" s="1"/>
      <c r="H45" s="15"/>
    </row>
    <row r="46" spans="1:8">
      <c r="A46" s="14"/>
      <c r="B46" s="1"/>
      <c r="C46" s="1"/>
      <c r="D46" s="1"/>
      <c r="E46" s="1"/>
      <c r="F46" s="1"/>
      <c r="G46" s="1"/>
      <c r="H46" s="15"/>
    </row>
    <row r="47" spans="1:8">
      <c r="A47" s="14"/>
      <c r="B47" s="1"/>
      <c r="C47" s="1"/>
      <c r="D47" s="1"/>
      <c r="E47" s="1"/>
      <c r="F47" s="1"/>
      <c r="G47" s="1"/>
      <c r="H47" s="15"/>
    </row>
    <row r="48" spans="1:8">
      <c r="A48" s="14"/>
      <c r="B48" s="1"/>
      <c r="C48" s="1"/>
      <c r="D48" s="1"/>
      <c r="E48" s="1"/>
      <c r="F48" s="1"/>
      <c r="G48" s="1"/>
      <c r="H48" s="15"/>
    </row>
    <row r="49" spans="1:8">
      <c r="A49" s="14"/>
      <c r="B49" s="1"/>
      <c r="C49" s="1"/>
      <c r="D49" s="1"/>
      <c r="E49" s="1"/>
      <c r="F49" s="1"/>
      <c r="G49" s="1"/>
      <c r="H49" s="15"/>
    </row>
    <row r="50" spans="1:8">
      <c r="A50" s="14"/>
      <c r="B50" s="1"/>
      <c r="C50" s="1"/>
      <c r="D50" s="1"/>
      <c r="E50" s="1"/>
      <c r="F50" s="1"/>
      <c r="G50" s="1"/>
      <c r="H50" s="15"/>
    </row>
    <row r="51" spans="1:8" ht="21.75" customHeight="1">
      <c r="A51" s="14"/>
      <c r="B51" s="1"/>
      <c r="C51" s="1"/>
      <c r="D51" s="1"/>
      <c r="E51" s="1"/>
      <c r="F51" s="1"/>
      <c r="G51" s="1"/>
      <c r="H51" s="15"/>
    </row>
    <row r="52" spans="1:8">
      <c r="A52" s="14"/>
      <c r="B52" s="1"/>
      <c r="C52" s="1"/>
      <c r="D52" s="1"/>
      <c r="E52" s="1"/>
      <c r="F52" s="1"/>
      <c r="G52" s="1"/>
      <c r="H52" s="15"/>
    </row>
    <row r="53" spans="1:8">
      <c r="A53" s="14"/>
      <c r="B53" s="1"/>
      <c r="C53" s="1"/>
      <c r="D53" s="1"/>
      <c r="E53" s="1"/>
      <c r="F53" s="1"/>
      <c r="G53" s="1"/>
      <c r="H53" s="15"/>
    </row>
    <row r="54" spans="1:8" ht="13.5" thickBot="1">
      <c r="A54" s="17"/>
      <c r="B54" s="18"/>
      <c r="C54" s="18"/>
      <c r="D54" s="18"/>
      <c r="E54" s="18"/>
      <c r="F54" s="18"/>
      <c r="G54" s="18"/>
      <c r="H54" s="101">
        <v>5</v>
      </c>
    </row>
    <row r="435" ht="23.25" customHeight="1"/>
  </sheetData>
  <mergeCells count="4">
    <mergeCell ref="A1:H1"/>
    <mergeCell ref="A25:H25"/>
    <mergeCell ref="D27:E27"/>
    <mergeCell ref="F27:G27"/>
  </mergeCells>
  <printOptions horizontalCentered="1" verticalCentered="1"/>
  <pageMargins left="0.75" right="0.75" top="1" bottom="1" header="0.5" footer="0.5"/>
  <pageSetup scale="75"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2060"/>
  </sheetPr>
  <dimension ref="A1:K437"/>
  <sheetViews>
    <sheetView view="pageBreakPreview" zoomScale="64" zoomScaleNormal="100" zoomScaleSheetLayoutView="64" workbookViewId="0">
      <selection activeCell="J28" sqref="J28"/>
    </sheetView>
  </sheetViews>
  <sheetFormatPr defaultRowHeight="12.75"/>
  <cols>
    <col min="1" max="1" width="1.7109375" customWidth="1"/>
    <col min="2" max="2" width="14.7109375" customWidth="1"/>
    <col min="3" max="3" width="20.42578125" customWidth="1"/>
    <col min="4" max="4" width="11" customWidth="1"/>
    <col min="5" max="5" width="12.42578125" customWidth="1"/>
    <col min="6" max="6" width="9" customWidth="1"/>
    <col min="7" max="7" width="12.5703125" customWidth="1"/>
    <col min="8" max="8" width="6.7109375" customWidth="1"/>
    <col min="9" max="9" width="8.42578125" customWidth="1"/>
    <col min="10" max="10" width="5.85546875" customWidth="1"/>
  </cols>
  <sheetData>
    <row r="1" spans="2:9" ht="22.5" customHeight="1" thickBot="1">
      <c r="B1" s="1690" t="str">
        <f>"7. Transformation Capacity Addition During" &amp;TEXT(TY," mmm-yyyy")  &amp;"  (MVA)"</f>
        <v>7. Transformation Capacity Addition During Jun-2021  (MVA)</v>
      </c>
      <c r="C1" s="1691"/>
      <c r="D1" s="1691"/>
      <c r="E1" s="1691"/>
      <c r="F1" s="1691"/>
      <c r="G1" s="1691"/>
      <c r="H1" s="1691"/>
      <c r="I1" s="1692"/>
    </row>
    <row r="2" spans="2:9" ht="20.25" customHeight="1">
      <c r="B2" s="14"/>
      <c r="C2" s="1"/>
      <c r="D2" s="1"/>
      <c r="E2" s="1"/>
      <c r="F2" s="1"/>
      <c r="G2" s="1"/>
      <c r="H2" s="1"/>
      <c r="I2" s="15"/>
    </row>
    <row r="3" spans="2:9">
      <c r="B3" s="14"/>
      <c r="C3" s="13" t="s">
        <v>397</v>
      </c>
      <c r="D3" s="1700">
        <f>LY</f>
        <v>43983</v>
      </c>
      <c r="E3" s="1701"/>
      <c r="F3" s="1700">
        <f>TY</f>
        <v>44348</v>
      </c>
      <c r="G3" s="1699"/>
      <c r="H3" s="34"/>
      <c r="I3" s="15"/>
    </row>
    <row r="4" spans="2:9">
      <c r="B4" s="14"/>
      <c r="C4" s="23" t="s">
        <v>527</v>
      </c>
      <c r="D4" s="1186">
        <v>0</v>
      </c>
      <c r="E4" s="1187"/>
      <c r="F4" s="1188">
        <f>'21(1)'!F15</f>
        <v>0</v>
      </c>
      <c r="G4" s="1187"/>
      <c r="H4" s="34"/>
      <c r="I4" s="15"/>
    </row>
    <row r="5" spans="2:9">
      <c r="B5" s="14"/>
      <c r="C5" s="23" t="s">
        <v>396</v>
      </c>
      <c r="D5" s="1183">
        <v>0</v>
      </c>
      <c r="E5" s="1184"/>
      <c r="F5" s="1185">
        <f>'21(1)'!J15</f>
        <v>0</v>
      </c>
      <c r="G5" s="1184"/>
      <c r="H5" s="25"/>
      <c r="I5" s="15"/>
    </row>
    <row r="6" spans="2:9" s="1397" customFormat="1">
      <c r="B6" s="14"/>
      <c r="C6" s="23" t="s">
        <v>2006</v>
      </c>
      <c r="D6" s="1183">
        <v>0</v>
      </c>
      <c r="E6" s="1184"/>
      <c r="F6" s="1185">
        <f>'21(1)'!N15</f>
        <v>1000</v>
      </c>
      <c r="G6" s="1184"/>
      <c r="H6" s="25"/>
      <c r="I6" s="1398"/>
    </row>
    <row r="7" spans="2:9">
      <c r="B7" s="14"/>
      <c r="C7" s="20" t="s">
        <v>424</v>
      </c>
      <c r="D7" s="1183">
        <v>0</v>
      </c>
      <c r="E7" s="1184"/>
      <c r="F7" s="1183">
        <f>'21(1)'!R15</f>
        <v>0</v>
      </c>
      <c r="G7" s="1184"/>
      <c r="H7" s="25"/>
      <c r="I7" s="15"/>
    </row>
    <row r="8" spans="2:9">
      <c r="B8" s="14"/>
      <c r="C8" s="20" t="s">
        <v>423</v>
      </c>
      <c r="D8" s="1183">
        <v>0</v>
      </c>
      <c r="E8" s="1184"/>
      <c r="F8" s="1185">
        <f>'21(1)'!V15</f>
        <v>630</v>
      </c>
      <c r="G8" s="1184"/>
      <c r="H8" s="36"/>
      <c r="I8" s="15"/>
    </row>
    <row r="9" spans="2:9">
      <c r="B9" s="14"/>
      <c r="C9" s="4" t="s">
        <v>422</v>
      </c>
      <c r="D9" s="1183">
        <v>1020</v>
      </c>
      <c r="E9" s="1184"/>
      <c r="F9" s="1185">
        <f>'21(1)'!Z15</f>
        <v>1592</v>
      </c>
      <c r="G9" s="1184"/>
      <c r="H9" s="25"/>
      <c r="I9" s="15"/>
    </row>
    <row r="10" spans="2:9">
      <c r="B10" s="14"/>
      <c r="C10" s="20" t="s">
        <v>433</v>
      </c>
      <c r="D10" s="1183">
        <f>SUM(D4:E9)</f>
        <v>1020</v>
      </c>
      <c r="E10" s="1184"/>
      <c r="F10" s="1183">
        <f>SUM(F4:F9)</f>
        <v>3222</v>
      </c>
      <c r="G10" s="1184"/>
      <c r="H10" s="25"/>
      <c r="I10" s="15"/>
    </row>
    <row r="11" spans="2:9" ht="23.25" customHeight="1">
      <c r="B11" s="14"/>
      <c r="C11" s="1"/>
      <c r="D11" s="1"/>
      <c r="E11" s="1"/>
      <c r="F11" s="1"/>
      <c r="G11" s="1"/>
      <c r="H11" s="1"/>
      <c r="I11" s="15"/>
    </row>
    <row r="12" spans="2:9">
      <c r="B12" s="14"/>
      <c r="C12" s="1"/>
      <c r="D12" s="1"/>
      <c r="E12" s="1"/>
      <c r="F12" s="1"/>
      <c r="G12" s="1"/>
      <c r="H12" s="1"/>
      <c r="I12" s="15"/>
    </row>
    <row r="13" spans="2:9">
      <c r="B13" s="14"/>
      <c r="C13" s="1"/>
      <c r="D13" s="1"/>
      <c r="E13" s="1"/>
      <c r="F13" s="1"/>
      <c r="G13" s="1"/>
      <c r="H13" s="1"/>
      <c r="I13" s="15"/>
    </row>
    <row r="14" spans="2:9">
      <c r="B14" s="14"/>
      <c r="C14" s="1"/>
      <c r="D14" s="1"/>
      <c r="E14" s="1"/>
      <c r="F14" s="1"/>
      <c r="G14" s="1"/>
      <c r="H14" s="1"/>
      <c r="I14" s="15"/>
    </row>
    <row r="15" spans="2:9">
      <c r="B15" s="14"/>
      <c r="C15" s="1"/>
      <c r="D15" s="1"/>
      <c r="E15" s="1"/>
      <c r="F15" s="1"/>
      <c r="G15" s="1"/>
      <c r="H15" s="1"/>
      <c r="I15" s="15"/>
    </row>
    <row r="16" spans="2:9">
      <c r="B16" s="14"/>
      <c r="C16" s="1"/>
      <c r="D16" s="1"/>
      <c r="E16" s="1"/>
      <c r="F16" s="1"/>
      <c r="G16" s="1"/>
      <c r="H16" s="1"/>
      <c r="I16" s="15"/>
    </row>
    <row r="17" spans="1:10">
      <c r="B17" s="14"/>
      <c r="C17" s="1"/>
      <c r="D17" s="1"/>
      <c r="E17" s="1"/>
      <c r="F17" s="1"/>
      <c r="G17" s="1"/>
      <c r="H17" s="1"/>
      <c r="I17" s="15"/>
    </row>
    <row r="18" spans="1:10">
      <c r="B18" s="14"/>
      <c r="C18" s="1"/>
      <c r="D18" s="1"/>
      <c r="E18" s="1"/>
      <c r="F18" s="1"/>
      <c r="G18" s="1"/>
      <c r="H18" s="1"/>
      <c r="I18" s="15"/>
    </row>
    <row r="19" spans="1:10" ht="41.25" customHeight="1">
      <c r="A19" s="410">
        <v>43252</v>
      </c>
      <c r="B19" s="421"/>
      <c r="C19" s="413"/>
      <c r="D19" s="413"/>
      <c r="E19" s="413"/>
      <c r="F19" s="413"/>
      <c r="G19" s="413"/>
      <c r="H19" s="413"/>
      <c r="I19" s="416"/>
      <c r="J19" s="411"/>
    </row>
    <row r="20" spans="1:10">
      <c r="B20" s="14"/>
      <c r="C20" s="1"/>
      <c r="D20" s="1"/>
      <c r="E20" s="1"/>
      <c r="F20" s="1"/>
      <c r="G20" s="1"/>
      <c r="H20" s="1"/>
      <c r="I20" s="15"/>
    </row>
    <row r="21" spans="1:10">
      <c r="B21" s="14"/>
      <c r="C21" s="1"/>
      <c r="D21" s="1"/>
      <c r="E21" s="1"/>
      <c r="F21" s="1"/>
      <c r="G21" s="1"/>
      <c r="H21" s="1"/>
      <c r="I21" s="15"/>
    </row>
    <row r="22" spans="1:10">
      <c r="B22" s="14"/>
      <c r="C22" s="1"/>
      <c r="D22" s="1"/>
      <c r="E22" s="1"/>
      <c r="F22" s="1"/>
      <c r="G22" s="1"/>
      <c r="H22" s="1"/>
      <c r="I22" s="15"/>
    </row>
    <row r="23" spans="1:10">
      <c r="B23" s="14"/>
      <c r="C23" s="1"/>
      <c r="D23" s="1"/>
      <c r="E23" s="1"/>
      <c r="F23" s="1"/>
      <c r="G23" s="1"/>
      <c r="H23" s="1"/>
      <c r="I23" s="15"/>
    </row>
    <row r="24" spans="1:10">
      <c r="B24" s="14"/>
      <c r="C24" s="1"/>
      <c r="D24" s="1"/>
      <c r="E24" s="1"/>
      <c r="F24" s="1"/>
      <c r="G24" s="1"/>
      <c r="H24" s="1"/>
      <c r="I24" s="15"/>
    </row>
    <row r="25" spans="1:10" ht="30.75" customHeight="1" thickBot="1">
      <c r="B25" s="14"/>
      <c r="C25" s="1"/>
      <c r="D25" s="1"/>
      <c r="E25" s="1"/>
      <c r="F25" s="1"/>
      <c r="G25" s="1"/>
      <c r="H25" s="1"/>
      <c r="I25" s="15"/>
    </row>
    <row r="26" spans="1:10" ht="35.25" customHeight="1" thickBot="1">
      <c r="B26" s="1702" t="str">
        <f>"All India Transformation Capacity Addition during " &amp;CLY  &amp;" &amp; " &amp;CTY &amp;" (MVA)"</f>
        <v>All India Transformation Capacity Addition during Apr-20 to Jun-20 &amp; Apr-21 to Jun-21 (MVA)</v>
      </c>
      <c r="C26" s="1703"/>
      <c r="D26" s="1703"/>
      <c r="E26" s="1703"/>
      <c r="F26" s="1703"/>
      <c r="G26" s="1703"/>
      <c r="H26" s="1703"/>
      <c r="I26" s="1704"/>
    </row>
    <row r="27" spans="1:10">
      <c r="B27" s="14"/>
      <c r="C27" s="24"/>
      <c r="D27" s="1"/>
      <c r="E27" s="1"/>
      <c r="F27" s="1"/>
      <c r="G27" s="1"/>
      <c r="H27" s="1"/>
      <c r="I27" s="15"/>
    </row>
    <row r="28" spans="1:10">
      <c r="B28" s="14"/>
      <c r="C28" s="13" t="s">
        <v>397</v>
      </c>
      <c r="D28" s="1616" t="str">
        <f>CLY</f>
        <v>Apr-20 to Jun-20</v>
      </c>
      <c r="E28" s="1705"/>
      <c r="F28" s="1706" t="str">
        <f>CTY</f>
        <v>Apr-21 to Jun-21</v>
      </c>
      <c r="G28" s="1707"/>
      <c r="H28" s="35"/>
      <c r="I28" s="15"/>
    </row>
    <row r="29" spans="1:10">
      <c r="B29" s="14"/>
      <c r="C29" s="23" t="s">
        <v>527</v>
      </c>
      <c r="D29" s="1186">
        <v>0</v>
      </c>
      <c r="E29" s="1187"/>
      <c r="F29" s="1188">
        <f>'21(1)'!F17</f>
        <v>0</v>
      </c>
      <c r="G29" s="1187"/>
      <c r="H29" s="35"/>
      <c r="I29" s="15"/>
    </row>
    <row r="30" spans="1:10">
      <c r="B30" s="14"/>
      <c r="C30" s="23" t="s">
        <v>396</v>
      </c>
      <c r="D30" s="1183">
        <v>0</v>
      </c>
      <c r="E30" s="1184"/>
      <c r="F30" s="1185">
        <f>'21(1)'!J17</f>
        <v>0</v>
      </c>
      <c r="G30" s="1184"/>
      <c r="H30" s="25"/>
      <c r="I30" s="15"/>
    </row>
    <row r="31" spans="1:10" s="1397" customFormat="1">
      <c r="B31" s="14"/>
      <c r="C31" s="23" t="s">
        <v>2006</v>
      </c>
      <c r="D31" s="1183">
        <v>0</v>
      </c>
      <c r="E31" s="1184"/>
      <c r="F31" s="1185">
        <f>'21(1)'!N17</f>
        <v>1000</v>
      </c>
      <c r="G31" s="1184"/>
      <c r="H31" s="25"/>
      <c r="I31" s="1398"/>
    </row>
    <row r="32" spans="1:10">
      <c r="B32" s="14"/>
      <c r="C32" s="20" t="s">
        <v>424</v>
      </c>
      <c r="D32" s="1183">
        <v>3900</v>
      </c>
      <c r="E32" s="1184"/>
      <c r="F32" s="1183">
        <f>'21(1)'!R17</f>
        <v>3000</v>
      </c>
      <c r="G32" s="1184"/>
      <c r="H32" s="25"/>
      <c r="I32" s="15"/>
    </row>
    <row r="33" spans="2:11">
      <c r="B33" s="14"/>
      <c r="C33" s="20" t="s">
        <v>423</v>
      </c>
      <c r="D33" s="1183">
        <v>1000</v>
      </c>
      <c r="E33" s="1184"/>
      <c r="F33" s="1185">
        <f>'21(1)'!V17</f>
        <v>5160</v>
      </c>
      <c r="G33" s="1184"/>
      <c r="H33" s="25"/>
      <c r="I33" s="15"/>
    </row>
    <row r="34" spans="2:11">
      <c r="B34" s="14"/>
      <c r="C34" s="4" t="s">
        <v>422</v>
      </c>
      <c r="D34" s="1183">
        <v>2490</v>
      </c>
      <c r="E34" s="1184"/>
      <c r="F34" s="1185">
        <f>'21(1)'!Z17</f>
        <v>2232</v>
      </c>
      <c r="G34" s="1184"/>
      <c r="H34" s="25"/>
      <c r="I34" s="15"/>
    </row>
    <row r="35" spans="2:11">
      <c r="B35" s="14"/>
      <c r="C35" s="20" t="s">
        <v>433</v>
      </c>
      <c r="D35" s="1183">
        <f>SUM(D29:D34)</f>
        <v>7390</v>
      </c>
      <c r="E35" s="1184"/>
      <c r="F35" s="1183">
        <f>SUM(F29:G34)</f>
        <v>11392</v>
      </c>
      <c r="G35" s="1184"/>
      <c r="H35" s="25"/>
      <c r="I35" s="15"/>
    </row>
    <row r="36" spans="2:11" ht="20.25" customHeight="1">
      <c r="B36" s="14"/>
      <c r="C36" s="24"/>
      <c r="D36" s="24"/>
      <c r="E36" s="9"/>
      <c r="F36" s="9"/>
      <c r="G36" s="9"/>
      <c r="H36" s="25"/>
      <c r="I36" s="15"/>
    </row>
    <row r="37" spans="2:11">
      <c r="B37" s="14"/>
      <c r="C37" s="1"/>
      <c r="D37" s="1"/>
      <c r="E37" s="1"/>
      <c r="F37" s="1"/>
      <c r="G37" s="1"/>
      <c r="H37" s="1"/>
      <c r="I37" s="15"/>
    </row>
    <row r="38" spans="2:11">
      <c r="B38" s="14"/>
      <c r="C38" s="1"/>
      <c r="D38" s="1"/>
      <c r="E38" s="1"/>
      <c r="F38" s="1"/>
      <c r="G38" s="1"/>
      <c r="H38" s="1"/>
      <c r="I38" s="15"/>
    </row>
    <row r="39" spans="2:11">
      <c r="B39" s="14"/>
      <c r="C39" s="1"/>
      <c r="D39" s="1"/>
      <c r="E39" s="1"/>
      <c r="F39" s="1"/>
      <c r="G39" s="1"/>
      <c r="H39" s="1"/>
      <c r="I39" s="15"/>
    </row>
    <row r="40" spans="2:11">
      <c r="B40" s="14"/>
      <c r="C40" s="1"/>
      <c r="D40" s="1"/>
      <c r="E40" s="1"/>
      <c r="F40" s="1"/>
      <c r="G40" s="1"/>
      <c r="H40" s="1"/>
      <c r="I40" s="15"/>
    </row>
    <row r="41" spans="2:11">
      <c r="B41" s="14"/>
      <c r="C41" s="1"/>
      <c r="D41" s="1"/>
      <c r="E41" s="1"/>
      <c r="F41" s="1"/>
      <c r="G41" s="1"/>
      <c r="H41" s="1"/>
      <c r="I41" s="15"/>
    </row>
    <row r="42" spans="2:11">
      <c r="B42" s="14"/>
      <c r="C42" s="1"/>
      <c r="D42" s="1"/>
      <c r="E42" s="1"/>
      <c r="F42" s="1"/>
      <c r="G42" s="1"/>
      <c r="H42" s="1"/>
      <c r="I42" s="15"/>
    </row>
    <row r="43" spans="2:11">
      <c r="B43" s="14"/>
      <c r="C43" s="1"/>
      <c r="D43" s="1"/>
      <c r="E43" s="1"/>
      <c r="F43" s="1"/>
      <c r="G43" s="1"/>
      <c r="H43" s="1"/>
      <c r="I43" s="15"/>
    </row>
    <row r="44" spans="2:11">
      <c r="B44" s="14"/>
      <c r="C44" s="1"/>
      <c r="D44" s="1"/>
      <c r="E44" s="1"/>
      <c r="F44" s="1"/>
      <c r="G44" s="1"/>
      <c r="H44" s="1"/>
      <c r="I44" s="15"/>
    </row>
    <row r="45" spans="2:11">
      <c r="B45" s="14"/>
      <c r="C45" s="1"/>
      <c r="D45" s="1"/>
      <c r="E45" s="1"/>
      <c r="F45" s="1"/>
      <c r="G45" s="1"/>
      <c r="H45" s="1"/>
      <c r="I45" s="15"/>
    </row>
    <row r="46" spans="2:11">
      <c r="B46" s="14"/>
      <c r="C46" s="1"/>
      <c r="D46" s="1"/>
      <c r="E46" s="1"/>
      <c r="F46" s="1"/>
      <c r="G46" s="1"/>
      <c r="H46" s="1"/>
      <c r="I46" s="15"/>
      <c r="K46" t="s">
        <v>426</v>
      </c>
    </row>
    <row r="47" spans="2:11">
      <c r="B47" s="14"/>
      <c r="C47" s="1"/>
      <c r="D47" s="1"/>
      <c r="E47" s="1"/>
      <c r="F47" s="1"/>
      <c r="G47" s="1"/>
      <c r="H47" s="1"/>
      <c r="I47" s="15"/>
    </row>
    <row r="48" spans="2:11">
      <c r="B48" s="14"/>
      <c r="C48" s="1"/>
      <c r="D48" s="1"/>
      <c r="E48" s="1"/>
      <c r="F48" s="1"/>
      <c r="G48" s="1"/>
      <c r="H48" s="1"/>
      <c r="I48" s="15"/>
    </row>
    <row r="49" spans="2:9">
      <c r="B49" s="14"/>
      <c r="C49" s="1"/>
      <c r="D49" s="1"/>
      <c r="E49" s="1"/>
      <c r="F49" s="1"/>
      <c r="G49" s="1"/>
      <c r="H49" s="1"/>
      <c r="I49" s="15"/>
    </row>
    <row r="50" spans="2:9">
      <c r="B50" s="14"/>
      <c r="C50" s="1"/>
      <c r="D50" s="1"/>
      <c r="E50" s="1"/>
      <c r="F50" s="1"/>
      <c r="G50" s="1"/>
      <c r="H50" s="1"/>
      <c r="I50" s="15"/>
    </row>
    <row r="51" spans="2:9">
      <c r="B51" s="14"/>
      <c r="C51" s="1"/>
      <c r="D51" s="1"/>
      <c r="E51" s="1"/>
      <c r="F51" s="1"/>
      <c r="G51" s="1"/>
      <c r="H51" s="1"/>
      <c r="I51" s="15"/>
    </row>
    <row r="52" spans="2:9">
      <c r="B52" s="14"/>
      <c r="C52" s="1"/>
      <c r="D52" s="1"/>
      <c r="E52" s="1"/>
      <c r="F52" s="1"/>
      <c r="G52" s="1"/>
      <c r="H52" s="1"/>
      <c r="I52" s="15"/>
    </row>
    <row r="53" spans="2:9" ht="21.75" customHeight="1">
      <c r="B53" s="14"/>
      <c r="C53" s="1"/>
      <c r="D53" s="1"/>
      <c r="E53" s="1"/>
      <c r="F53" s="1"/>
      <c r="G53" s="1"/>
      <c r="H53" s="1"/>
      <c r="I53" s="15"/>
    </row>
    <row r="54" spans="2:9" ht="13.5" thickBot="1">
      <c r="B54" s="17"/>
      <c r="C54" s="18"/>
      <c r="D54" s="18"/>
      <c r="E54" s="18"/>
      <c r="F54" s="18"/>
      <c r="G54" s="18"/>
      <c r="H54" s="18"/>
      <c r="I54" s="101">
        <v>6</v>
      </c>
    </row>
    <row r="437" ht="23.25" customHeight="1"/>
  </sheetData>
  <mergeCells count="6">
    <mergeCell ref="B1:I1"/>
    <mergeCell ref="D3:E3"/>
    <mergeCell ref="F3:G3"/>
    <mergeCell ref="B26:I26"/>
    <mergeCell ref="D28:E28"/>
    <mergeCell ref="F28:G28"/>
  </mergeCells>
  <phoneticPr fontId="17" type="noConversion"/>
  <printOptions horizontalCentered="1" verticalCentered="1"/>
  <pageMargins left="0.75" right="0.75" top="1" bottom="1" header="0.5" footer="0.5"/>
  <pageSetup scale="75"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2060"/>
  </sheetPr>
  <dimension ref="A1:O435"/>
  <sheetViews>
    <sheetView view="pageBreakPreview" topLeftCell="A13" zoomScale="64" zoomScaleNormal="100" zoomScaleSheetLayoutView="64" workbookViewId="0">
      <selection activeCell="J28" sqref="J28"/>
    </sheetView>
  </sheetViews>
  <sheetFormatPr defaultColWidth="9.140625" defaultRowHeight="12.75"/>
  <cols>
    <col min="1" max="1" width="3.42578125" style="1370" customWidth="1"/>
    <col min="2" max="2" width="5.42578125" style="1370" customWidth="1"/>
    <col min="3" max="3" width="16.140625" style="1370" customWidth="1"/>
    <col min="4" max="5" width="13.140625" style="1370" customWidth="1"/>
    <col min="6" max="6" width="11.85546875" style="1370" customWidth="1"/>
    <col min="7" max="7" width="8.42578125" style="1370" customWidth="1"/>
    <col min="8" max="8" width="9.5703125" style="1385" customWidth="1"/>
    <col min="9" max="9" width="8.5703125" style="1385" customWidth="1"/>
    <col min="10" max="10" width="2" style="1370" bestFit="1" customWidth="1"/>
    <col min="11" max="12" width="9.140625" style="1370"/>
    <col min="13" max="13" width="12.85546875" style="1370" customWidth="1"/>
    <col min="14" max="16384" width="9.140625" style="1370"/>
  </cols>
  <sheetData>
    <row r="1" spans="1:15" ht="24.75" customHeight="1" thickBot="1">
      <c r="A1" s="1369"/>
      <c r="B1" s="1711" t="str">
        <f>"8. Power Supply Position (Energy &amp; Peak) in" &amp;TEXT(TY," mmm-yyyy")</f>
        <v>8. Power Supply Position (Energy &amp; Peak) in Jun-2021</v>
      </c>
      <c r="C1" s="1712"/>
      <c r="D1" s="1712"/>
      <c r="E1" s="1712"/>
      <c r="F1" s="1712"/>
      <c r="G1" s="1712"/>
      <c r="H1" s="1712"/>
      <c r="I1" s="1712"/>
      <c r="J1" s="1713"/>
    </row>
    <row r="2" spans="1:15" ht="18.75" customHeight="1">
      <c r="A2" s="1369"/>
      <c r="B2" s="1388"/>
      <c r="C2" s="1381"/>
      <c r="D2" s="1381"/>
      <c r="E2" s="1381"/>
      <c r="F2" s="1381"/>
      <c r="G2" s="1381"/>
      <c r="H2" s="1381"/>
      <c r="I2" s="1371"/>
      <c r="J2" s="1369"/>
    </row>
    <row r="3" spans="1:15" ht="17.25" customHeight="1">
      <c r="B3" s="1372"/>
      <c r="C3" s="1721" t="s">
        <v>402</v>
      </c>
      <c r="D3" s="1718" t="s">
        <v>427</v>
      </c>
      <c r="E3" s="1719"/>
      <c r="F3" s="1719"/>
      <c r="G3" s="1720"/>
      <c r="H3" s="1723" t="s">
        <v>807</v>
      </c>
      <c r="I3" s="1724"/>
      <c r="J3" s="1369"/>
      <c r="L3" s="1373"/>
      <c r="M3" s="1373"/>
      <c r="N3" s="1373"/>
      <c r="O3" s="1373"/>
    </row>
    <row r="4" spans="1:15" ht="17.25" customHeight="1">
      <c r="B4" s="1372"/>
      <c r="C4" s="1722"/>
      <c r="D4" s="1716" t="s">
        <v>495</v>
      </c>
      <c r="E4" s="1717"/>
      <c r="F4" s="1716" t="s">
        <v>1536</v>
      </c>
      <c r="G4" s="1715"/>
      <c r="H4" s="1725"/>
      <c r="I4" s="1726"/>
      <c r="J4" s="1369"/>
      <c r="L4" s="1373"/>
      <c r="M4" s="1373"/>
      <c r="N4" s="1373"/>
      <c r="O4" s="1373"/>
    </row>
    <row r="5" spans="1:15" ht="17.25" customHeight="1">
      <c r="B5" s="1372"/>
      <c r="C5" s="1374"/>
      <c r="D5" s="890" t="str">
        <f>TEXT(LY," mmm-yyyy")</f>
        <v xml:space="preserve"> Jun-2020</v>
      </c>
      <c r="E5" s="890" t="str">
        <f>TEXT(TY," mmm-yyyy")</f>
        <v xml:space="preserve"> Jun-2021</v>
      </c>
      <c r="F5" s="890" t="str">
        <f>TEXT(LY," mmm-yyyy")</f>
        <v xml:space="preserve"> Jun-2020</v>
      </c>
      <c r="G5" s="890" t="str">
        <f>TEXT(TY," mmm-yyyy")</f>
        <v xml:space="preserve"> Jun-2021</v>
      </c>
      <c r="H5" s="1389" t="str">
        <f>TEXT(LY," mmm-yyyy")</f>
        <v xml:space="preserve"> Jun-2020</v>
      </c>
      <c r="I5" s="890" t="str">
        <f>TEXT(TY," mmm-yyyy")</f>
        <v xml:space="preserve"> Jun-2021</v>
      </c>
      <c r="J5" s="1369"/>
      <c r="L5" s="1373"/>
      <c r="M5" s="1373"/>
      <c r="N5" s="1373"/>
      <c r="O5" s="1373"/>
    </row>
    <row r="6" spans="1:15" ht="17.25" customHeight="1">
      <c r="B6" s="1372"/>
      <c r="C6" s="1390" t="s">
        <v>429</v>
      </c>
      <c r="D6" s="1367">
        <f>'23'!G16</f>
        <v>37781.560000000005</v>
      </c>
      <c r="E6" s="1367">
        <f>'23'!C16</f>
        <v>39324.967000000004</v>
      </c>
      <c r="F6" s="1375">
        <f>'23'!H16</f>
        <v>37360.870000000003</v>
      </c>
      <c r="G6" s="1375">
        <f>'23'!D16</f>
        <v>39013.078999999998</v>
      </c>
      <c r="H6" s="1391">
        <f t="shared" ref="H6:H11" si="0">(F6-D6)*100/D6</f>
        <v>-1.1134796975032324</v>
      </c>
      <c r="I6" s="1391">
        <f t="shared" ref="I6:I11" si="1">(G6-E6)*100/E6</f>
        <v>-0.79310428919115494</v>
      </c>
      <c r="J6" s="1369"/>
      <c r="L6" s="1373"/>
      <c r="M6" s="1376"/>
      <c r="N6" s="1368"/>
      <c r="O6" s="1368"/>
    </row>
    <row r="7" spans="1:15" ht="17.25" customHeight="1">
      <c r="B7" s="1372"/>
      <c r="C7" s="1390" t="s">
        <v>430</v>
      </c>
      <c r="D7" s="1375">
        <f>'23'!G24</f>
        <v>27836.410646047276</v>
      </c>
      <c r="E7" s="1375">
        <f>'23'!C24</f>
        <v>32999.9</v>
      </c>
      <c r="F7" s="1375">
        <f>'23'!H24</f>
        <v>27836.410646047276</v>
      </c>
      <c r="G7" s="1375">
        <f>'23'!D24</f>
        <v>32999.9</v>
      </c>
      <c r="H7" s="1391">
        <f t="shared" si="0"/>
        <v>0</v>
      </c>
      <c r="I7" s="1391">
        <f t="shared" si="1"/>
        <v>0</v>
      </c>
      <c r="J7" s="1369"/>
      <c r="L7" s="1368"/>
      <c r="M7" s="1368"/>
      <c r="N7" s="1368"/>
      <c r="O7" s="1368"/>
    </row>
    <row r="8" spans="1:15" ht="17.25" customHeight="1">
      <c r="B8" s="1372"/>
      <c r="C8" s="725" t="s">
        <v>417</v>
      </c>
      <c r="D8" s="1375">
        <f>'23'!G32</f>
        <v>25808.350254886001</v>
      </c>
      <c r="E8" s="1375">
        <f>'23'!C32</f>
        <v>27548.672871999999</v>
      </c>
      <c r="F8" s="1375">
        <f>'23'!H32</f>
        <v>25808.350254886001</v>
      </c>
      <c r="G8" s="1375">
        <f>'23'!D32</f>
        <v>27542.2228</v>
      </c>
      <c r="H8" s="1391">
        <f t="shared" si="0"/>
        <v>0</v>
      </c>
      <c r="I8" s="1391">
        <f t="shared" si="1"/>
        <v>-2.341336742415414E-2</v>
      </c>
      <c r="J8" s="1369"/>
      <c r="L8" s="1368"/>
      <c r="M8" s="1368"/>
      <c r="N8" s="1368"/>
      <c r="O8" s="1368"/>
    </row>
    <row r="9" spans="1:15" ht="17.25" customHeight="1">
      <c r="B9" s="1372"/>
      <c r="C9" s="1390" t="s">
        <v>431</v>
      </c>
      <c r="D9" s="1375">
        <f>'23'!G40</f>
        <v>12681.880969856998</v>
      </c>
      <c r="E9" s="1375">
        <f>'23'!C40</f>
        <v>13273.456794502925</v>
      </c>
      <c r="F9" s="1375">
        <f>'23'!H40</f>
        <v>12655.535969856997</v>
      </c>
      <c r="G9" s="1375">
        <f>'23'!D40</f>
        <v>13273.456794502925</v>
      </c>
      <c r="H9" s="1391">
        <f t="shared" si="0"/>
        <v>-0.20773732274115669</v>
      </c>
      <c r="I9" s="1391">
        <f t="shared" si="1"/>
        <v>0</v>
      </c>
      <c r="J9" s="1369"/>
      <c r="L9" s="1368"/>
      <c r="M9" s="1368"/>
      <c r="N9" s="1368"/>
      <c r="O9" s="1368"/>
    </row>
    <row r="10" spans="1:15" ht="17.25" customHeight="1">
      <c r="B10" s="1372"/>
      <c r="C10" s="725" t="s">
        <v>432</v>
      </c>
      <c r="D10" s="1375">
        <f>'23'!G48</f>
        <v>1448.1565923140352</v>
      </c>
      <c r="E10" s="1375">
        <f>'23'!C48</f>
        <v>1525.19</v>
      </c>
      <c r="F10" s="1375">
        <f>'23'!H48</f>
        <v>1424.4965609183848</v>
      </c>
      <c r="G10" s="1375">
        <f>'23'!D48</f>
        <v>1523.73</v>
      </c>
      <c r="H10" s="1391">
        <f t="shared" si="0"/>
        <v>-1.6338033829507026</v>
      </c>
      <c r="I10" s="1391">
        <f t="shared" si="1"/>
        <v>-9.5725778427608127E-2</v>
      </c>
      <c r="J10" s="1369"/>
      <c r="L10" s="1368"/>
      <c r="M10" s="1368"/>
      <c r="N10" s="1368"/>
      <c r="O10" s="1368"/>
    </row>
    <row r="11" spans="1:15" ht="17.25" customHeight="1">
      <c r="B11" s="1372"/>
      <c r="C11" s="725" t="s">
        <v>433</v>
      </c>
      <c r="D11" s="1392">
        <f>SUM(D6:D10)</f>
        <v>105556.3584631043</v>
      </c>
      <c r="E11" s="1392">
        <f>SUM(E6:E10)</f>
        <v>114672.18666650292</v>
      </c>
      <c r="F11" s="1392">
        <f>SUM(F6:F10)</f>
        <v>105085.66343170866</v>
      </c>
      <c r="G11" s="1392">
        <f>SUM(G6:G10)</f>
        <v>114352.38859450292</v>
      </c>
      <c r="H11" s="1391">
        <f t="shared" si="0"/>
        <v>-0.44591821681701183</v>
      </c>
      <c r="I11" s="1391">
        <f t="shared" si="1"/>
        <v>-0.27888024227711161</v>
      </c>
      <c r="J11" s="1369"/>
      <c r="L11" s="1368"/>
      <c r="M11" s="1368"/>
      <c r="N11" s="1368"/>
      <c r="O11" s="1368"/>
    </row>
    <row r="12" spans="1:15" ht="18.75" customHeight="1">
      <c r="B12" s="1372"/>
      <c r="C12" s="1373"/>
      <c r="D12" s="1373"/>
      <c r="E12" s="1373"/>
      <c r="F12" s="1373"/>
      <c r="G12" s="1373"/>
      <c r="H12" s="1371"/>
      <c r="I12" s="1393"/>
      <c r="J12" s="1369"/>
      <c r="L12" s="1373"/>
      <c r="M12" s="1373"/>
      <c r="N12" s="1373"/>
      <c r="O12" s="1373"/>
    </row>
    <row r="13" spans="1:15" ht="18" customHeight="1">
      <c r="B13" s="1372"/>
      <c r="C13" s="1721" t="s">
        <v>402</v>
      </c>
      <c r="D13" s="1718" t="s">
        <v>81</v>
      </c>
      <c r="E13" s="1719"/>
      <c r="F13" s="1719"/>
      <c r="G13" s="1720"/>
      <c r="H13" s="1723" t="s">
        <v>807</v>
      </c>
      <c r="I13" s="1724"/>
      <c r="J13" s="1369"/>
      <c r="L13" s="1373"/>
      <c r="M13" s="1373"/>
      <c r="N13" s="1373"/>
      <c r="O13" s="1373"/>
    </row>
    <row r="14" spans="1:15" ht="18" customHeight="1">
      <c r="B14" s="1372"/>
      <c r="C14" s="1722"/>
      <c r="D14" s="1714" t="s">
        <v>497</v>
      </c>
      <c r="E14" s="1715"/>
      <c r="F14" s="1714" t="s">
        <v>519</v>
      </c>
      <c r="G14" s="1715"/>
      <c r="H14" s="1725"/>
      <c r="I14" s="1726"/>
      <c r="J14" s="1369"/>
      <c r="L14" s="1373"/>
      <c r="M14" s="1373"/>
      <c r="N14" s="1373"/>
      <c r="O14" s="1373"/>
    </row>
    <row r="15" spans="1:15" ht="18" customHeight="1">
      <c r="B15" s="1372"/>
      <c r="C15" s="1390"/>
      <c r="D15" s="890" t="str">
        <f>TEXT(LY," mmm-yyyy")</f>
        <v xml:space="preserve"> Jun-2020</v>
      </c>
      <c r="E15" s="1394" t="str">
        <f>TEXT(TY," mmm-yyyy")</f>
        <v xml:space="preserve"> Jun-2021</v>
      </c>
      <c r="F15" s="890" t="str">
        <f>TEXT(LY," mmm-yyyy")</f>
        <v xml:space="preserve"> Jun-2020</v>
      </c>
      <c r="G15" s="1394" t="str">
        <f>TEXT(TY," mmm-yyyy")</f>
        <v xml:space="preserve"> Jun-2021</v>
      </c>
      <c r="H15" s="1389" t="str">
        <f>TEXT(LY," mmm-yyyy")</f>
        <v xml:space="preserve"> Jun-2020</v>
      </c>
      <c r="I15" s="890" t="str">
        <f>TEXT(TY," mmm-yyyy")</f>
        <v xml:space="preserve"> Jun-2021</v>
      </c>
      <c r="J15" s="1369"/>
      <c r="M15" s="1377"/>
    </row>
    <row r="16" spans="1:15" ht="18" customHeight="1">
      <c r="B16" s="1372"/>
      <c r="C16" s="1390" t="s">
        <v>429</v>
      </c>
      <c r="D16" s="1392">
        <f>'24'!G17</f>
        <v>65336</v>
      </c>
      <c r="E16" s="1392">
        <f>'24'!C17</f>
        <v>73116</v>
      </c>
      <c r="F16" s="1392">
        <f>'24'!H17</f>
        <v>64885</v>
      </c>
      <c r="G16" s="1392">
        <f>'24'!D17</f>
        <v>70691</v>
      </c>
      <c r="H16" s="1391">
        <f t="shared" ref="H16:H21" si="2">(F16-D16)*100/D16</f>
        <v>-0.69027794783886376</v>
      </c>
      <c r="I16" s="1391">
        <f t="shared" ref="I16:I21" si="3">(G16-E16)*100/E16</f>
        <v>-3.3166475190108868</v>
      </c>
      <c r="J16" s="1369"/>
    </row>
    <row r="17" spans="1:13" ht="18" customHeight="1">
      <c r="B17" s="1372"/>
      <c r="C17" s="1390" t="s">
        <v>430</v>
      </c>
      <c r="D17" s="1392">
        <f>'24'!G25</f>
        <v>47627</v>
      </c>
      <c r="E17" s="1392">
        <f>'24'!C25</f>
        <v>52286</v>
      </c>
      <c r="F17" s="1392">
        <f>'24'!H25</f>
        <v>47627</v>
      </c>
      <c r="G17" s="1392">
        <f>'24'!D25</f>
        <v>52286</v>
      </c>
      <c r="H17" s="1391">
        <f t="shared" si="2"/>
        <v>0</v>
      </c>
      <c r="I17" s="1391">
        <f t="shared" si="3"/>
        <v>0</v>
      </c>
      <c r="J17" s="1369"/>
      <c r="M17" s="1377"/>
    </row>
    <row r="18" spans="1:13" ht="18" customHeight="1">
      <c r="A18" s="1386"/>
      <c r="B18" s="1372"/>
      <c r="C18" s="725" t="s">
        <v>417</v>
      </c>
      <c r="D18" s="1392">
        <f>'24'!G33</f>
        <v>43091.95</v>
      </c>
      <c r="E18" s="1392">
        <f>'24'!C33</f>
        <v>51063.956190476209</v>
      </c>
      <c r="F18" s="1392">
        <f>'24'!H33</f>
        <v>43043</v>
      </c>
      <c r="G18" s="1392">
        <f>'24'!D33</f>
        <v>51046</v>
      </c>
      <c r="H18" s="1391">
        <f t="shared" si="2"/>
        <v>-0.11359430241610577</v>
      </c>
      <c r="I18" s="1391">
        <f t="shared" si="3"/>
        <v>-3.5164119304092488E-2</v>
      </c>
      <c r="J18" s="1369"/>
    </row>
    <row r="19" spans="1:13" ht="18" customHeight="1">
      <c r="B19" s="1372"/>
      <c r="C19" s="1390" t="s">
        <v>431</v>
      </c>
      <c r="D19" s="1392">
        <f>'24'!G41</f>
        <v>21988.633577495995</v>
      </c>
      <c r="E19" s="1392">
        <f>'24'!C41</f>
        <v>23800.388349514564</v>
      </c>
      <c r="F19" s="1392">
        <f>'24'!H41</f>
        <v>21832.170739063298</v>
      </c>
      <c r="G19" s="1392">
        <f>'24'!D41</f>
        <v>23800.388349514564</v>
      </c>
      <c r="H19" s="1391">
        <f t="shared" si="2"/>
        <v>-0.71156235280043523</v>
      </c>
      <c r="I19" s="1391">
        <f t="shared" si="3"/>
        <v>0</v>
      </c>
      <c r="J19" s="1369"/>
    </row>
    <row r="20" spans="1:13" ht="18" customHeight="1">
      <c r="B20" s="1372"/>
      <c r="C20" s="725" t="s">
        <v>432</v>
      </c>
      <c r="D20" s="1392">
        <f>'24'!G49</f>
        <v>2940.4609999999998</v>
      </c>
      <c r="E20" s="1392">
        <f>'24'!C49</f>
        <v>3060</v>
      </c>
      <c r="F20" s="1392">
        <f>'24'!H49</f>
        <v>2884</v>
      </c>
      <c r="G20" s="1392">
        <f>'24'!D49</f>
        <v>3053</v>
      </c>
      <c r="H20" s="1391">
        <f t="shared" si="2"/>
        <v>-1.920141093522403</v>
      </c>
      <c r="I20" s="1391">
        <f t="shared" si="3"/>
        <v>-0.22875816993464052</v>
      </c>
      <c r="J20" s="1369"/>
    </row>
    <row r="21" spans="1:13" ht="18" customHeight="1">
      <c r="B21" s="1372"/>
      <c r="C21" s="725" t="s">
        <v>433</v>
      </c>
      <c r="D21" s="1392">
        <f>'24'!G50</f>
        <v>166686.36490351561</v>
      </c>
      <c r="E21" s="1392">
        <f>'24'!C50</f>
        <v>193849.7693441126</v>
      </c>
      <c r="F21" s="1392">
        <f>'24'!H50</f>
        <v>164981.61694335937</v>
      </c>
      <c r="G21" s="1392">
        <f>'24'!D50</f>
        <v>191514</v>
      </c>
      <c r="H21" s="1391">
        <f t="shared" si="2"/>
        <v>-1.0227279004752488</v>
      </c>
      <c r="I21" s="1391">
        <f t="shared" si="3"/>
        <v>-1.2049379021783926</v>
      </c>
      <c r="J21" s="1369"/>
    </row>
    <row r="22" spans="1:13">
      <c r="B22" s="1372"/>
      <c r="C22" s="1373"/>
      <c r="D22" s="1373"/>
      <c r="E22" s="1373"/>
      <c r="F22" s="1373"/>
      <c r="G22" s="1373"/>
      <c r="H22" s="1371"/>
      <c r="I22" s="1371"/>
      <c r="J22" s="1369"/>
    </row>
    <row r="23" spans="1:13">
      <c r="B23" s="1387" t="s">
        <v>883</v>
      </c>
      <c r="C23" s="1373" t="str">
        <f>TEXT(TY," mmm-yyyy") &amp; " Figures are Provisional"</f>
        <v xml:space="preserve"> Jun-2021 Figures are Provisional</v>
      </c>
      <c r="D23" s="1373"/>
      <c r="E23" s="1373"/>
      <c r="F23" s="1373"/>
      <c r="G23" s="1373"/>
      <c r="H23" s="1371"/>
      <c r="I23" s="1371"/>
      <c r="J23" s="1369"/>
    </row>
    <row r="24" spans="1:13">
      <c r="B24" s="1372"/>
      <c r="C24" s="1373"/>
      <c r="D24" s="1373"/>
      <c r="E24" s="1373"/>
      <c r="F24" s="1373"/>
      <c r="G24" s="1373"/>
      <c r="H24" s="1371"/>
      <c r="I24" s="1371"/>
      <c r="J24" s="1369"/>
    </row>
    <row r="25" spans="1:13" ht="13.5" thickBot="1">
      <c r="B25" s="1378"/>
      <c r="C25" s="1379"/>
      <c r="D25" s="1379"/>
      <c r="E25" s="1379"/>
      <c r="F25" s="1379"/>
      <c r="G25" s="1379"/>
      <c r="H25" s="1380"/>
      <c r="I25" s="1380"/>
      <c r="J25" s="1395">
        <v>7</v>
      </c>
    </row>
    <row r="39" spans="2:10">
      <c r="B39" s="1381"/>
      <c r="C39" s="1381"/>
      <c r="D39" s="1381"/>
      <c r="E39" s="1381"/>
      <c r="F39" s="1382"/>
      <c r="G39" s="1382"/>
      <c r="H39" s="1382"/>
      <c r="I39" s="1382"/>
      <c r="J39" s="1382"/>
    </row>
    <row r="40" spans="2:10">
      <c r="B40" s="1383"/>
      <c r="C40" s="1373"/>
      <c r="D40" s="1373"/>
      <c r="E40" s="1373"/>
      <c r="F40" s="1373"/>
      <c r="G40" s="1708"/>
      <c r="H40" s="1708"/>
      <c r="I40" s="1371"/>
    </row>
    <row r="41" spans="2:10">
      <c r="B41" s="1373"/>
      <c r="C41" s="1708"/>
      <c r="D41" s="1709"/>
      <c r="E41" s="1708"/>
      <c r="F41" s="1708"/>
      <c r="G41" s="1710"/>
      <c r="H41" s="1708"/>
      <c r="I41" s="1371"/>
    </row>
    <row r="42" spans="2:10">
      <c r="B42" s="1373"/>
      <c r="C42" s="1373"/>
      <c r="D42" s="1373"/>
      <c r="E42" s="1373"/>
      <c r="F42" s="1373"/>
      <c r="G42" s="1373"/>
      <c r="H42" s="1371"/>
      <c r="I42" s="1371"/>
    </row>
    <row r="43" spans="2:10">
      <c r="B43" s="1373"/>
      <c r="C43" s="1373"/>
      <c r="D43" s="1373"/>
      <c r="E43" s="1373"/>
      <c r="F43" s="1373"/>
      <c r="G43" s="1708"/>
      <c r="H43" s="1708"/>
      <c r="I43" s="1371"/>
    </row>
    <row r="44" spans="2:10">
      <c r="B44" s="1373"/>
      <c r="C44" s="1708"/>
      <c r="D44" s="1709"/>
      <c r="E44" s="1708"/>
      <c r="F44" s="1708"/>
      <c r="G44" s="1710"/>
      <c r="H44" s="1708"/>
      <c r="I44" s="1371"/>
    </row>
    <row r="45" spans="2:10">
      <c r="B45" s="1373"/>
      <c r="C45" s="1373"/>
      <c r="D45" s="1373"/>
      <c r="E45" s="1373"/>
      <c r="F45" s="1373"/>
      <c r="G45" s="1373"/>
      <c r="H45" s="1371"/>
      <c r="I45" s="1371"/>
    </row>
    <row r="46" spans="2:10">
      <c r="B46" s="1373"/>
      <c r="C46" s="1373"/>
      <c r="D46" s="1373"/>
      <c r="E46" s="1373"/>
      <c r="F46" s="1373"/>
      <c r="G46" s="1373"/>
      <c r="H46" s="1371"/>
      <c r="I46" s="1371"/>
    </row>
    <row r="47" spans="2:10">
      <c r="B47" s="1373"/>
      <c r="C47" s="1373"/>
      <c r="D47" s="1373"/>
      <c r="E47" s="1373"/>
      <c r="F47" s="1373"/>
      <c r="G47" s="1373"/>
      <c r="H47" s="1371"/>
      <c r="I47" s="1371"/>
    </row>
    <row r="48" spans="2:10">
      <c r="B48" s="1373"/>
      <c r="C48" s="1373"/>
      <c r="D48" s="1373"/>
      <c r="E48" s="1373"/>
      <c r="F48" s="1373"/>
      <c r="G48" s="1373"/>
      <c r="H48" s="1371"/>
      <c r="I48" s="1371"/>
    </row>
    <row r="49" spans="2:9">
      <c r="B49" s="1373"/>
      <c r="C49" s="1383"/>
      <c r="D49" s="1383"/>
      <c r="E49" s="1373"/>
      <c r="F49" s="1373"/>
      <c r="G49" s="1373"/>
      <c r="H49" s="1371"/>
      <c r="I49" s="1371"/>
    </row>
    <row r="50" spans="2:9">
      <c r="B50" s="1373"/>
      <c r="C50" s="1373"/>
      <c r="D50" s="1373"/>
      <c r="E50" s="1373"/>
      <c r="F50" s="1373"/>
      <c r="G50" s="1373"/>
      <c r="H50" s="1371"/>
      <c r="I50" s="1371"/>
    </row>
    <row r="51" spans="2:9" ht="21.75" customHeight="1">
      <c r="C51" s="1384"/>
      <c r="D51" s="1373"/>
      <c r="E51" s="1373"/>
      <c r="F51" s="1373"/>
    </row>
    <row r="435" ht="23.25" customHeight="1"/>
  </sheetData>
  <mergeCells count="19">
    <mergeCell ref="B1:J1"/>
    <mergeCell ref="D14:E14"/>
    <mergeCell ref="G40:H40"/>
    <mergeCell ref="F14:G14"/>
    <mergeCell ref="D4:E4"/>
    <mergeCell ref="F4:G4"/>
    <mergeCell ref="D3:G3"/>
    <mergeCell ref="C3:C4"/>
    <mergeCell ref="H3:I4"/>
    <mergeCell ref="H13:I14"/>
    <mergeCell ref="C13:C14"/>
    <mergeCell ref="D13:G13"/>
    <mergeCell ref="E44:F44"/>
    <mergeCell ref="C44:D44"/>
    <mergeCell ref="C41:D41"/>
    <mergeCell ref="G44:H44"/>
    <mergeCell ref="G43:H43"/>
    <mergeCell ref="E41:F41"/>
    <mergeCell ref="G41:H41"/>
  </mergeCells>
  <phoneticPr fontId="17" type="noConversion"/>
  <printOptions horizontalCentered="1" verticalCentered="1"/>
  <pageMargins left="0.75" right="0.75" top="1" bottom="1" header="0.5" footer="0.5"/>
  <pageSetup scale="75" orientation="portrait" r:id="rId1"/>
  <headerFooter alignWithMargins="0"/>
  <ignoredErrors>
    <ignoredError sqref="E5"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2060"/>
  </sheetPr>
  <dimension ref="A1:AW436"/>
  <sheetViews>
    <sheetView view="pageBreakPreview" topLeftCell="A64" zoomScale="64" zoomScaleNormal="100" zoomScaleSheetLayoutView="64" workbookViewId="0">
      <selection activeCell="J28" sqref="J28"/>
    </sheetView>
  </sheetViews>
  <sheetFormatPr defaultColWidth="9.140625" defaultRowHeight="12.75"/>
  <cols>
    <col min="1" max="1" width="3.28515625" style="347" customWidth="1"/>
    <col min="2" max="2" width="9.85546875" style="347" customWidth="1"/>
    <col min="3" max="3" width="10.85546875" style="347" customWidth="1"/>
    <col min="4" max="4" width="9.28515625" style="347" customWidth="1"/>
    <col min="5" max="5" width="9.85546875" style="347" customWidth="1"/>
    <col min="6" max="6" width="12.7109375" style="347" customWidth="1"/>
    <col min="7" max="7" width="18.5703125" style="347" customWidth="1"/>
    <col min="8" max="8" width="14.42578125" style="347" customWidth="1"/>
    <col min="9" max="9" width="10.85546875" style="347" customWidth="1"/>
    <col min="10" max="10" width="11" style="347" customWidth="1"/>
    <col min="11" max="11" width="14" style="347" customWidth="1"/>
    <col min="12" max="12" width="10.7109375" style="347" customWidth="1"/>
    <col min="13" max="13" width="13" style="347" customWidth="1"/>
    <col min="14" max="37" width="3.7109375" style="347" customWidth="1"/>
    <col min="38" max="16384" width="9.140625" style="347"/>
  </cols>
  <sheetData>
    <row r="1" spans="2:15" ht="13.5" thickBot="1"/>
    <row r="2" spans="2:15" ht="23.25" customHeight="1" thickBot="1">
      <c r="B2" s="1727" t="str">
        <f>"9.  Peak Shortage of Power Supply (MW) in Different Regions in" &amp;TEXT(TY," mmm-yyyy")</f>
        <v>9.  Peak Shortage of Power Supply (MW) in Different Regions in Jun-2021</v>
      </c>
      <c r="C2" s="1728"/>
      <c r="D2" s="1728"/>
      <c r="E2" s="1728"/>
      <c r="F2" s="1728"/>
      <c r="G2" s="1728"/>
      <c r="H2" s="1728"/>
      <c r="I2" s="1728"/>
      <c r="J2" s="1728"/>
      <c r="K2" s="1729"/>
    </row>
    <row r="3" spans="2:15" s="359" customFormat="1" ht="15.75" customHeight="1">
      <c r="B3" s="559"/>
      <c r="C3" s="555" t="s">
        <v>503</v>
      </c>
      <c r="D3" s="555" t="s">
        <v>487</v>
      </c>
      <c r="E3" s="555" t="s">
        <v>502</v>
      </c>
      <c r="F3" s="555" t="s">
        <v>486</v>
      </c>
      <c r="G3" s="555" t="s">
        <v>1222</v>
      </c>
      <c r="H3" s="555" t="s">
        <v>492</v>
      </c>
      <c r="I3" s="555" t="s">
        <v>489</v>
      </c>
      <c r="J3" s="555" t="s">
        <v>500</v>
      </c>
      <c r="K3" s="556" t="s">
        <v>471</v>
      </c>
      <c r="L3" s="400"/>
      <c r="M3" s="1258"/>
      <c r="O3" s="1258"/>
    </row>
    <row r="4" spans="2:15" s="374" customFormat="1" ht="11.25" customHeight="1">
      <c r="B4" s="557" t="str">
        <f>TEXT(LY," mmm-yyyy")</f>
        <v xml:space="preserve"> Jun-2020</v>
      </c>
      <c r="C4" s="1412">
        <v>0</v>
      </c>
      <c r="D4" s="1412">
        <v>0</v>
      </c>
      <c r="E4" s="1412">
        <v>0</v>
      </c>
      <c r="F4" s="1412">
        <v>0</v>
      </c>
      <c r="G4" s="1412">
        <v>567</v>
      </c>
      <c r="H4" s="1412">
        <v>0</v>
      </c>
      <c r="I4" s="1412">
        <v>0</v>
      </c>
      <c r="J4" s="1412">
        <v>0</v>
      </c>
      <c r="K4" s="1413">
        <v>0</v>
      </c>
      <c r="L4" s="401"/>
      <c r="M4" s="1259"/>
      <c r="O4" s="1259"/>
    </row>
    <row r="5" spans="2:15" s="374" customFormat="1" ht="13.5" customHeight="1">
      <c r="B5" s="557" t="str">
        <f>TEXT(TY," mmm-yyyy")</f>
        <v xml:space="preserve"> Jun-2021</v>
      </c>
      <c r="C5" s="1412">
        <v>0</v>
      </c>
      <c r="D5" s="1412">
        <v>0</v>
      </c>
      <c r="E5" s="1412">
        <v>0.31999999999970896</v>
      </c>
      <c r="F5" s="1412">
        <v>0</v>
      </c>
      <c r="G5" s="1412">
        <v>250</v>
      </c>
      <c r="H5" s="1412">
        <v>0</v>
      </c>
      <c r="I5" s="1412">
        <v>0</v>
      </c>
      <c r="J5" s="1412">
        <v>0</v>
      </c>
      <c r="K5" s="1413">
        <v>0</v>
      </c>
      <c r="L5" s="401"/>
    </row>
    <row r="6" spans="2:15" s="373" customFormat="1" ht="13.5" customHeight="1">
      <c r="B6" s="559"/>
      <c r="C6" s="554"/>
      <c r="D6" s="554"/>
      <c r="E6" s="554"/>
      <c r="F6" s="554"/>
      <c r="G6" s="554"/>
      <c r="H6" s="554"/>
      <c r="I6" s="554"/>
      <c r="J6" s="554"/>
      <c r="K6" s="558"/>
      <c r="L6" s="401"/>
    </row>
    <row r="7" spans="2:15" ht="13.5" customHeight="1">
      <c r="B7" s="514"/>
      <c r="C7" s="515"/>
      <c r="D7" s="515"/>
      <c r="E7" s="515"/>
      <c r="F7" s="515"/>
      <c r="G7" s="515"/>
      <c r="H7" s="515"/>
      <c r="I7" s="515"/>
      <c r="J7" s="515"/>
      <c r="K7" s="516"/>
      <c r="L7" s="400"/>
    </row>
    <row r="8" spans="2:15" s="370" customFormat="1" ht="13.5" customHeight="1">
      <c r="B8" s="372"/>
      <c r="C8" s="371"/>
      <c r="D8" s="371"/>
      <c r="E8" s="371"/>
      <c r="F8" s="371"/>
      <c r="G8" s="371"/>
      <c r="H8" s="371"/>
      <c r="I8" s="371"/>
      <c r="J8" s="371"/>
      <c r="K8" s="368"/>
    </row>
    <row r="9" spans="2:15" s="370" customFormat="1" ht="13.5" customHeight="1">
      <c r="B9" s="358"/>
      <c r="C9" s="357"/>
      <c r="D9" s="357"/>
      <c r="E9" s="357"/>
      <c r="F9" s="357"/>
      <c r="G9" s="357"/>
      <c r="H9" s="357"/>
      <c r="I9" s="357"/>
      <c r="J9" s="357"/>
      <c r="K9" s="356"/>
    </row>
    <row r="10" spans="2:15" ht="13.5" customHeight="1">
      <c r="B10" s="358"/>
      <c r="C10" s="357"/>
      <c r="D10" s="357"/>
      <c r="E10" s="357"/>
      <c r="F10" s="357"/>
      <c r="G10" s="357"/>
      <c r="H10" s="357"/>
      <c r="I10" s="357"/>
      <c r="J10" s="357"/>
      <c r="K10" s="356"/>
    </row>
    <row r="11" spans="2:15" ht="13.5" customHeight="1">
      <c r="B11" s="358"/>
      <c r="C11" s="357"/>
      <c r="D11" s="357"/>
      <c r="E11" s="357"/>
      <c r="F11" s="357"/>
      <c r="G11" s="357"/>
      <c r="H11" s="357"/>
      <c r="I11" s="357"/>
      <c r="J11" s="357"/>
      <c r="K11" s="356"/>
    </row>
    <row r="12" spans="2:15" ht="13.5" customHeight="1">
      <c r="B12" s="358"/>
      <c r="C12" s="357"/>
      <c r="D12" s="357"/>
      <c r="E12" s="357"/>
      <c r="F12" s="357"/>
      <c r="G12" s="357"/>
      <c r="H12" s="357"/>
      <c r="I12" s="357"/>
      <c r="J12" s="357"/>
      <c r="K12" s="356"/>
      <c r="O12" s="369"/>
    </row>
    <row r="13" spans="2:15">
      <c r="B13" s="358"/>
      <c r="C13" s="357"/>
      <c r="D13" s="357"/>
      <c r="E13" s="357"/>
      <c r="F13" s="357"/>
      <c r="G13" s="357"/>
      <c r="H13" s="357"/>
      <c r="I13" s="357"/>
      <c r="J13" s="357"/>
      <c r="K13" s="356"/>
    </row>
    <row r="14" spans="2:15" ht="6.75" customHeight="1">
      <c r="B14" s="377"/>
      <c r="C14" s="378"/>
      <c r="D14" s="378"/>
      <c r="E14" s="378"/>
      <c r="F14" s="378"/>
      <c r="G14" s="378"/>
      <c r="H14" s="378"/>
      <c r="I14" s="378"/>
      <c r="J14" s="378"/>
      <c r="K14" s="379"/>
    </row>
    <row r="15" spans="2:15">
      <c r="B15" s="358"/>
      <c r="C15" s="357"/>
      <c r="D15" s="357"/>
      <c r="E15" s="357"/>
      <c r="F15" s="357"/>
      <c r="G15" s="357"/>
      <c r="H15" s="357"/>
      <c r="I15" s="357"/>
      <c r="J15" s="357"/>
      <c r="K15" s="356"/>
    </row>
    <row r="16" spans="2:15" ht="9" customHeight="1">
      <c r="B16" s="358"/>
      <c r="C16" s="357"/>
      <c r="D16" s="357"/>
      <c r="E16" s="357"/>
      <c r="F16" s="357"/>
      <c r="G16" s="357"/>
      <c r="H16" s="357"/>
      <c r="I16" s="357"/>
      <c r="J16" s="357"/>
      <c r="K16" s="356"/>
    </row>
    <row r="17" spans="1:11">
      <c r="B17" s="546"/>
      <c r="C17" s="547"/>
      <c r="D17" s="547"/>
      <c r="E17" s="547"/>
      <c r="F17" s="547"/>
      <c r="G17" s="547"/>
      <c r="H17" s="547"/>
      <c r="I17" s="547"/>
      <c r="J17" s="547"/>
      <c r="K17" s="548"/>
    </row>
    <row r="18" spans="1:11">
      <c r="B18" s="546"/>
      <c r="C18" s="547"/>
      <c r="D18" s="547"/>
      <c r="E18" s="547"/>
      <c r="F18" s="547"/>
      <c r="G18" s="547"/>
      <c r="H18" s="547"/>
      <c r="I18" s="547"/>
      <c r="J18" s="547"/>
      <c r="K18" s="548"/>
    </row>
    <row r="19" spans="1:11" s="359" customFormat="1" ht="27.75" customHeight="1">
      <c r="A19" s="423">
        <v>43252</v>
      </c>
      <c r="B19" s="549"/>
      <c r="C19" s="550" t="s">
        <v>131</v>
      </c>
      <c r="D19" s="550" t="s">
        <v>494</v>
      </c>
      <c r="E19" s="550" t="s">
        <v>488</v>
      </c>
      <c r="F19" s="550" t="s">
        <v>491</v>
      </c>
      <c r="G19" s="550" t="s">
        <v>505</v>
      </c>
      <c r="H19" s="550" t="s">
        <v>648</v>
      </c>
      <c r="I19" s="550" t="s">
        <v>504</v>
      </c>
      <c r="J19" s="551"/>
      <c r="K19" s="552"/>
    </row>
    <row r="20" spans="1:11" s="359" customFormat="1">
      <c r="B20" s="557" t="str">
        <f>TEXT(LY," mmm-yyyy")</f>
        <v xml:space="preserve"> Jun-2020</v>
      </c>
      <c r="C20" s="1411">
        <v>1.2865999999999076</v>
      </c>
      <c r="D20" s="1411">
        <v>0</v>
      </c>
      <c r="E20" s="1411">
        <v>0</v>
      </c>
      <c r="F20" s="1411">
        <v>6.7976999999991676</v>
      </c>
      <c r="G20" s="1411">
        <v>0.17850000000001387</v>
      </c>
      <c r="H20" s="1411">
        <v>0</v>
      </c>
      <c r="I20" s="1411">
        <v>1.0819637499999999</v>
      </c>
      <c r="J20" s="553"/>
      <c r="K20" s="548"/>
    </row>
    <row r="21" spans="1:11" s="359" customFormat="1" ht="13.5" customHeight="1">
      <c r="B21" s="557" t="str">
        <f>TEXT(TY," mmm-yyyy")</f>
        <v xml:space="preserve"> Jun-2021</v>
      </c>
      <c r="C21" s="1411">
        <v>0</v>
      </c>
      <c r="D21" s="1411">
        <v>0</v>
      </c>
      <c r="E21" s="1411">
        <v>0</v>
      </c>
      <c r="F21" s="1411">
        <v>0</v>
      </c>
      <c r="G21" s="1411">
        <v>0</v>
      </c>
      <c r="H21" s="1411">
        <v>0</v>
      </c>
      <c r="I21" s="1411">
        <v>0</v>
      </c>
      <c r="J21" s="547"/>
      <c r="K21" s="548"/>
    </row>
    <row r="22" spans="1:11" s="359" customFormat="1">
      <c r="B22" s="517"/>
      <c r="C22" s="450"/>
      <c r="D22" s="450"/>
      <c r="E22" s="450"/>
      <c r="F22" s="450"/>
      <c r="G22" s="450"/>
      <c r="H22" s="450"/>
      <c r="I22" s="450"/>
      <c r="J22" s="354"/>
      <c r="K22" s="353"/>
    </row>
    <row r="23" spans="1:11">
      <c r="B23" s="406"/>
      <c r="C23" s="357"/>
      <c r="D23" s="357"/>
      <c r="E23" s="357"/>
      <c r="F23" s="357"/>
      <c r="G23" s="357"/>
      <c r="H23" s="357"/>
      <c r="I23" s="357"/>
      <c r="J23" s="357"/>
      <c r="K23" s="350"/>
    </row>
    <row r="24" spans="1:11">
      <c r="B24" s="358"/>
      <c r="C24" s="357"/>
      <c r="D24" s="357"/>
      <c r="E24" s="357"/>
      <c r="F24" s="357"/>
      <c r="G24" s="357"/>
      <c r="H24" s="357"/>
      <c r="I24" s="357"/>
      <c r="J24" s="357"/>
      <c r="K24" s="356"/>
    </row>
    <row r="25" spans="1:11">
      <c r="B25" s="358"/>
      <c r="C25" s="357"/>
      <c r="D25" s="357"/>
      <c r="E25" s="357"/>
      <c r="F25" s="357"/>
      <c r="G25" s="357"/>
      <c r="H25" s="357"/>
      <c r="I25" s="357"/>
      <c r="J25" s="357"/>
      <c r="K25" s="356"/>
    </row>
    <row r="26" spans="1:11">
      <c r="B26" s="358"/>
      <c r="C26" s="357"/>
      <c r="D26" s="357"/>
      <c r="E26" s="357"/>
      <c r="F26" s="357"/>
      <c r="G26" s="357"/>
      <c r="H26" s="357"/>
      <c r="I26" s="357"/>
      <c r="J26" s="357"/>
      <c r="K26" s="350"/>
    </row>
    <row r="27" spans="1:11">
      <c r="B27" s="352"/>
      <c r="C27" s="351"/>
      <c r="D27" s="351"/>
      <c r="E27" s="351"/>
      <c r="F27" s="351"/>
      <c r="G27" s="351"/>
      <c r="H27" s="351"/>
      <c r="I27" s="351"/>
      <c r="J27" s="351"/>
      <c r="K27" s="350"/>
    </row>
    <row r="28" spans="1:11">
      <c r="B28" s="352"/>
      <c r="C28" s="351"/>
      <c r="D28" s="351"/>
      <c r="E28" s="351"/>
      <c r="F28" s="351"/>
      <c r="G28" s="351"/>
      <c r="H28" s="351"/>
      <c r="I28" s="351"/>
      <c r="J28" s="351"/>
      <c r="K28" s="350"/>
    </row>
    <row r="29" spans="1:11">
      <c r="B29" s="377"/>
      <c r="C29" s="378"/>
      <c r="D29" s="378"/>
      <c r="E29" s="378"/>
      <c r="F29" s="378"/>
      <c r="G29" s="378"/>
      <c r="H29" s="378"/>
      <c r="I29" s="378"/>
      <c r="J29" s="378"/>
      <c r="K29" s="379"/>
    </row>
    <row r="30" spans="1:11">
      <c r="B30" s="358"/>
      <c r="C30" s="357"/>
      <c r="D30" s="357"/>
      <c r="E30" s="357"/>
      <c r="F30" s="357"/>
      <c r="G30" s="357"/>
      <c r="H30" s="357"/>
      <c r="I30" s="357"/>
      <c r="J30" s="357"/>
      <c r="K30" s="356"/>
    </row>
    <row r="31" spans="1:11">
      <c r="B31" s="358"/>
      <c r="C31" s="357"/>
      <c r="D31" s="357"/>
      <c r="E31" s="357"/>
      <c r="F31" s="357"/>
      <c r="G31" s="357"/>
      <c r="H31" s="357"/>
      <c r="I31" s="357"/>
      <c r="J31" s="357"/>
      <c r="K31" s="356"/>
    </row>
    <row r="32" spans="1:11">
      <c r="B32" s="358"/>
      <c r="C32" s="357"/>
      <c r="D32" s="357"/>
      <c r="E32" s="357"/>
      <c r="F32" s="357"/>
      <c r="G32" s="357"/>
      <c r="H32" s="357"/>
      <c r="I32" s="357"/>
      <c r="J32" s="357"/>
      <c r="K32" s="356"/>
    </row>
    <row r="33" spans="1:11">
      <c r="B33" s="358"/>
      <c r="C33" s="357"/>
      <c r="D33" s="383"/>
      <c r="E33" s="357"/>
      <c r="F33" s="357"/>
      <c r="G33" s="357"/>
      <c r="H33" s="357"/>
      <c r="I33" s="357"/>
      <c r="J33" s="357"/>
      <c r="K33" s="356"/>
    </row>
    <row r="34" spans="1:11" ht="9" customHeight="1">
      <c r="B34" s="358"/>
      <c r="C34" s="357"/>
      <c r="D34" s="383"/>
      <c r="E34" s="357"/>
      <c r="F34" s="357"/>
      <c r="G34" s="357"/>
      <c r="H34" s="357"/>
      <c r="I34" s="357"/>
      <c r="J34" s="357"/>
      <c r="K34" s="356"/>
    </row>
    <row r="35" spans="1:11">
      <c r="B35" s="358"/>
      <c r="C35" s="357"/>
      <c r="D35" s="357"/>
      <c r="E35" s="357"/>
      <c r="F35" s="357"/>
      <c r="G35" s="357"/>
      <c r="H35" s="357"/>
      <c r="I35" s="357"/>
      <c r="J35" s="357"/>
      <c r="K35" s="356"/>
    </row>
    <row r="36" spans="1:11" ht="13.9" customHeight="1">
      <c r="B36" s="358"/>
      <c r="C36" s="357"/>
      <c r="D36" s="357"/>
      <c r="E36" s="357"/>
      <c r="F36" s="357"/>
      <c r="G36" s="357"/>
      <c r="H36" s="357"/>
      <c r="I36" s="357"/>
      <c r="J36" s="357"/>
      <c r="K36" s="356"/>
    </row>
    <row r="37" spans="1:11">
      <c r="B37" s="377"/>
      <c r="C37" s="378"/>
      <c r="D37" s="378"/>
      <c r="E37" s="378"/>
      <c r="F37" s="378"/>
      <c r="G37" s="378"/>
      <c r="H37" s="378"/>
      <c r="I37" s="378"/>
      <c r="J37" s="378"/>
      <c r="K37" s="379"/>
    </row>
    <row r="38" spans="1:11" s="359" customFormat="1" ht="14.25" customHeight="1">
      <c r="A38" s="347"/>
      <c r="B38" s="546"/>
      <c r="C38" s="553" t="s">
        <v>501</v>
      </c>
      <c r="D38" s="547" t="s">
        <v>524</v>
      </c>
      <c r="E38" s="547" t="s">
        <v>506</v>
      </c>
      <c r="F38" s="547" t="s">
        <v>507</v>
      </c>
      <c r="G38" s="547" t="s">
        <v>508</v>
      </c>
      <c r="H38" s="553" t="s">
        <v>509</v>
      </c>
      <c r="I38" s="547" t="s">
        <v>737</v>
      </c>
      <c r="J38" s="547"/>
      <c r="K38" s="548"/>
    </row>
    <row r="39" spans="1:11" s="359" customFormat="1">
      <c r="A39" s="347"/>
      <c r="B39" s="557" t="str">
        <f>TEXT(LY," mmm-yyyy")</f>
        <v xml:space="preserve"> Jun-2020</v>
      </c>
      <c r="C39" s="1411">
        <v>19.442500000001019</v>
      </c>
      <c r="D39" s="1411">
        <v>19.653000000002066</v>
      </c>
      <c r="E39" s="1411">
        <v>19.10166666666737</v>
      </c>
      <c r="F39" s="1411">
        <v>16.081000000000586</v>
      </c>
      <c r="G39" s="1411">
        <v>0</v>
      </c>
      <c r="H39" s="1411">
        <v>0</v>
      </c>
      <c r="I39" s="1411">
        <v>0</v>
      </c>
      <c r="J39" s="547"/>
      <c r="K39" s="548"/>
    </row>
    <row r="40" spans="1:11" s="359" customFormat="1">
      <c r="A40" s="347"/>
      <c r="B40" s="557" t="str">
        <f>TEXT(TY," mmm-yyyy")</f>
        <v xml:space="preserve"> Jun-2021</v>
      </c>
      <c r="C40" s="1411">
        <v>45.947773788151608</v>
      </c>
      <c r="D40" s="1411">
        <v>0</v>
      </c>
      <c r="E40" s="1411">
        <v>0</v>
      </c>
      <c r="F40" s="1411">
        <v>0</v>
      </c>
      <c r="G40" s="1411">
        <v>0</v>
      </c>
      <c r="H40" s="1411">
        <v>4.7039999999999509</v>
      </c>
      <c r="I40" s="1411">
        <v>0</v>
      </c>
      <c r="J40" s="547"/>
      <c r="K40" s="548"/>
    </row>
    <row r="41" spans="1:11">
      <c r="B41" s="377"/>
      <c r="C41" s="378"/>
      <c r="D41" s="378"/>
      <c r="E41" s="378"/>
      <c r="F41" s="378"/>
      <c r="G41" s="378"/>
      <c r="H41" s="378"/>
      <c r="I41" s="378"/>
      <c r="J41" s="378"/>
      <c r="K41" s="379"/>
    </row>
    <row r="42" spans="1:11">
      <c r="B42" s="355"/>
      <c r="C42" s="354"/>
      <c r="D42" s="354"/>
      <c r="E42" s="354"/>
      <c r="F42" s="354"/>
      <c r="G42" s="354"/>
      <c r="H42" s="354"/>
      <c r="I42" s="354"/>
      <c r="J42" s="354"/>
      <c r="K42" s="353"/>
    </row>
    <row r="43" spans="1:11">
      <c r="B43" s="352"/>
      <c r="C43" s="351"/>
      <c r="D43" s="351"/>
      <c r="E43" s="351"/>
      <c r="F43" s="351"/>
      <c r="G43" s="351"/>
      <c r="H43" s="351"/>
      <c r="I43" s="351"/>
      <c r="J43" s="351"/>
      <c r="K43" s="350"/>
    </row>
    <row r="44" spans="1:11">
      <c r="B44" s="364"/>
      <c r="C44" s="351"/>
      <c r="D44" s="351"/>
      <c r="E44" s="351"/>
      <c r="F44" s="351"/>
      <c r="G44" s="351"/>
      <c r="H44" s="351"/>
      <c r="I44" s="351"/>
      <c r="J44" s="351"/>
      <c r="K44" s="350"/>
    </row>
    <row r="45" spans="1:11">
      <c r="B45" s="352"/>
      <c r="C45" s="351"/>
      <c r="D45" s="351"/>
      <c r="E45" s="351"/>
      <c r="F45" s="351"/>
      <c r="G45" s="351"/>
      <c r="H45" s="351"/>
      <c r="I45" s="351"/>
      <c r="J45" s="351"/>
      <c r="K45" s="350"/>
    </row>
    <row r="46" spans="1:11">
      <c r="B46" s="352"/>
      <c r="C46" s="351"/>
      <c r="D46" s="351"/>
      <c r="E46" s="351"/>
      <c r="F46" s="351"/>
      <c r="G46" s="351"/>
      <c r="H46" s="351"/>
      <c r="I46" s="351"/>
      <c r="J46" s="351"/>
      <c r="K46" s="350"/>
    </row>
    <row r="47" spans="1:11">
      <c r="B47" s="352"/>
      <c r="C47" s="351"/>
      <c r="D47" s="351"/>
      <c r="E47" s="351"/>
      <c r="F47" s="351"/>
      <c r="G47" s="351"/>
      <c r="H47" s="351"/>
      <c r="I47" s="351"/>
      <c r="J47" s="351"/>
      <c r="K47" s="350"/>
    </row>
    <row r="48" spans="1:11">
      <c r="B48" s="352"/>
      <c r="C48" s="351"/>
      <c r="D48" s="351"/>
      <c r="E48" s="351"/>
      <c r="F48" s="351"/>
      <c r="G48" s="351"/>
      <c r="H48" s="351"/>
      <c r="I48" s="351"/>
      <c r="J48" s="351"/>
      <c r="K48" s="350"/>
    </row>
    <row r="49" spans="1:12">
      <c r="B49" s="352"/>
      <c r="C49" s="351"/>
      <c r="D49" s="351"/>
      <c r="E49" s="351"/>
      <c r="F49" s="351"/>
      <c r="G49" s="351"/>
      <c r="H49" s="351"/>
      <c r="I49" s="351"/>
      <c r="J49" s="351"/>
      <c r="K49" s="350"/>
    </row>
    <row r="50" spans="1:12">
      <c r="B50" s="352"/>
      <c r="C50" s="351"/>
      <c r="D50" s="351"/>
      <c r="E50" s="351"/>
      <c r="F50" s="351"/>
      <c r="G50" s="351"/>
      <c r="H50" s="351"/>
      <c r="I50" s="351"/>
      <c r="J50" s="351"/>
      <c r="K50" s="350"/>
    </row>
    <row r="51" spans="1:12">
      <c r="B51" s="352"/>
      <c r="C51" s="351"/>
      <c r="D51" s="351"/>
      <c r="E51" s="351"/>
      <c r="F51" s="351"/>
      <c r="G51" s="351"/>
      <c r="H51" s="351"/>
      <c r="I51" s="351"/>
      <c r="J51" s="351"/>
      <c r="K51" s="350"/>
    </row>
    <row r="52" spans="1:12" ht="21.75" customHeight="1">
      <c r="B52" s="352"/>
      <c r="C52" s="351"/>
      <c r="D52" s="351"/>
      <c r="E52" s="351"/>
      <c r="F52" s="351"/>
      <c r="G52" s="351"/>
      <c r="H52" s="351"/>
      <c r="I52" s="351"/>
      <c r="J52" s="351"/>
      <c r="K52" s="350"/>
    </row>
    <row r="53" spans="1:12">
      <c r="B53" s="352"/>
      <c r="C53" s="351"/>
      <c r="D53" s="351"/>
      <c r="E53" s="351"/>
      <c r="F53" s="351"/>
      <c r="G53" s="351"/>
      <c r="H53" s="351"/>
      <c r="I53" s="351"/>
      <c r="J53" s="351"/>
      <c r="K53" s="350"/>
    </row>
    <row r="54" spans="1:12" ht="12" customHeight="1" thickBot="1">
      <c r="B54" s="349"/>
      <c r="C54" s="348"/>
      <c r="D54" s="348"/>
      <c r="E54" s="348"/>
      <c r="F54" s="348"/>
      <c r="G54" s="348"/>
      <c r="H54" s="348"/>
      <c r="I54" s="348"/>
      <c r="J54" s="348"/>
      <c r="K54" s="1429">
        <v>8</v>
      </c>
    </row>
    <row r="55" spans="1:12" s="351" customFormat="1" ht="8.25" customHeight="1" thickBot="1">
      <c r="K55" s="1430"/>
    </row>
    <row r="56" spans="1:12" s="361" customFormat="1" ht="5.25" customHeight="1">
      <c r="A56" s="347"/>
      <c r="B56" s="367"/>
      <c r="C56" s="366"/>
      <c r="D56" s="366"/>
      <c r="E56" s="366"/>
      <c r="F56" s="366"/>
      <c r="G56" s="366"/>
      <c r="H56" s="366"/>
      <c r="I56" s="366"/>
      <c r="J56" s="366"/>
      <c r="K56" s="365"/>
    </row>
    <row r="57" spans="1:12" s="361" customFormat="1" ht="6.75" hidden="1" customHeight="1" thickBot="1">
      <c r="A57" s="347"/>
      <c r="B57" s="364"/>
      <c r="C57" s="363"/>
      <c r="D57" s="363"/>
      <c r="E57" s="363"/>
      <c r="F57" s="363"/>
      <c r="G57" s="363"/>
      <c r="H57" s="363"/>
      <c r="I57" s="363"/>
      <c r="J57" s="363"/>
      <c r="K57" s="362"/>
    </row>
    <row r="58" spans="1:12" s="359" customFormat="1" ht="15" customHeight="1">
      <c r="B58" s="546"/>
      <c r="C58" s="547" t="s">
        <v>499</v>
      </c>
      <c r="D58" s="547" t="s">
        <v>9</v>
      </c>
      <c r="E58" s="547" t="s">
        <v>511</v>
      </c>
      <c r="F58" s="547" t="s">
        <v>472</v>
      </c>
      <c r="G58" s="547" t="s">
        <v>484</v>
      </c>
      <c r="H58" s="553" t="s">
        <v>490</v>
      </c>
      <c r="I58" s="547" t="s">
        <v>473</v>
      </c>
      <c r="J58" s="547"/>
      <c r="K58" s="548"/>
    </row>
    <row r="59" spans="1:12" s="359" customFormat="1">
      <c r="B59" s="557" t="str">
        <f>TEXT(LY," mmm-yyyy")</f>
        <v xml:space="preserve"> Jun-2020</v>
      </c>
      <c r="C59" s="1411">
        <v>3.0019783530660789</v>
      </c>
      <c r="D59" s="1411">
        <v>0</v>
      </c>
      <c r="E59" s="1411">
        <v>1.9156894477796413</v>
      </c>
      <c r="F59" s="1411">
        <v>4.5073980894076158</v>
      </c>
      <c r="G59" s="1411">
        <v>15.975863420595488</v>
      </c>
      <c r="H59" s="1411">
        <v>5.1698430612489688E-2</v>
      </c>
      <c r="I59" s="1411">
        <v>4</v>
      </c>
      <c r="J59" s="547"/>
      <c r="K59" s="548"/>
    </row>
    <row r="60" spans="1:12" s="359" customFormat="1">
      <c r="B60" s="557" t="str">
        <f>TEXT(TY," mmm-yyyy")</f>
        <v xml:space="preserve"> Jun-2021</v>
      </c>
      <c r="C60" s="1411">
        <v>0</v>
      </c>
      <c r="D60" s="1411">
        <v>0</v>
      </c>
      <c r="E60" s="1411">
        <v>0</v>
      </c>
      <c r="F60" s="1411">
        <v>0</v>
      </c>
      <c r="G60" s="1411">
        <v>0</v>
      </c>
      <c r="H60" s="1411">
        <v>0</v>
      </c>
      <c r="I60" s="1411">
        <v>4</v>
      </c>
      <c r="J60" s="547"/>
      <c r="K60" s="548"/>
    </row>
    <row r="61" spans="1:12">
      <c r="B61" s="546"/>
      <c r="C61" s="547"/>
      <c r="D61" s="547"/>
      <c r="E61" s="547"/>
      <c r="F61" s="547"/>
      <c r="G61" s="547"/>
      <c r="H61" s="547"/>
      <c r="I61" s="547"/>
      <c r="J61" s="547"/>
      <c r="K61" s="548"/>
    </row>
    <row r="62" spans="1:12" s="360" customFormat="1">
      <c r="B62" s="546"/>
      <c r="C62" s="547"/>
      <c r="D62" s="547"/>
      <c r="E62" s="547"/>
      <c r="F62" s="547"/>
      <c r="G62" s="547"/>
      <c r="H62" s="547"/>
      <c r="I62" s="547"/>
      <c r="J62" s="547"/>
      <c r="K62" s="548"/>
      <c r="L62" s="347"/>
    </row>
    <row r="63" spans="1:12">
      <c r="B63" s="446"/>
      <c r="C63" s="447"/>
      <c r="D63" s="447"/>
      <c r="E63" s="447"/>
      <c r="F63" s="447"/>
      <c r="G63" s="447"/>
      <c r="H63" s="447"/>
      <c r="I63" s="447"/>
      <c r="J63" s="447"/>
      <c r="K63" s="448"/>
    </row>
    <row r="64" spans="1:12">
      <c r="B64" s="377"/>
      <c r="C64" s="378"/>
      <c r="D64" s="378"/>
      <c r="E64" s="378"/>
      <c r="F64" s="378"/>
      <c r="G64" s="378"/>
      <c r="H64" s="378"/>
      <c r="I64" s="378"/>
      <c r="J64" s="378"/>
      <c r="K64" s="379"/>
    </row>
    <row r="65" spans="2:49">
      <c r="B65" s="377"/>
      <c r="C65" s="378"/>
      <c r="D65" s="378"/>
      <c r="E65" s="378"/>
      <c r="F65" s="378"/>
      <c r="G65" s="378"/>
      <c r="H65" s="378"/>
      <c r="I65" s="378"/>
      <c r="J65" s="378"/>
      <c r="K65" s="379"/>
    </row>
    <row r="66" spans="2:49">
      <c r="B66" s="352"/>
      <c r="C66" s="351"/>
      <c r="D66" s="351"/>
      <c r="E66" s="351"/>
      <c r="F66" s="351"/>
      <c r="G66" s="351"/>
      <c r="H66" s="351"/>
      <c r="I66" s="351"/>
      <c r="J66" s="351"/>
      <c r="K66" s="350"/>
    </row>
    <row r="67" spans="2:49">
      <c r="B67" s="352"/>
      <c r="C67" s="351"/>
      <c r="D67" s="351"/>
      <c r="E67" s="351"/>
      <c r="F67" s="351"/>
      <c r="G67" s="351"/>
      <c r="H67" s="351"/>
      <c r="I67" s="351"/>
      <c r="J67" s="351"/>
      <c r="K67" s="350"/>
    </row>
    <row r="68" spans="2:49">
      <c r="B68" s="352"/>
      <c r="C68" s="351"/>
      <c r="D68" s="351"/>
      <c r="E68" s="351"/>
      <c r="F68" s="351"/>
      <c r="G68" s="351"/>
      <c r="H68" s="351"/>
      <c r="I68" s="351"/>
      <c r="J68" s="351"/>
      <c r="K68" s="350"/>
    </row>
    <row r="69" spans="2:49">
      <c r="B69" s="352"/>
      <c r="C69" s="351"/>
      <c r="D69" s="351"/>
      <c r="E69" s="351"/>
      <c r="F69" s="351"/>
      <c r="G69" s="351"/>
      <c r="H69" s="351"/>
      <c r="I69" s="351"/>
      <c r="J69" s="351"/>
      <c r="K69" s="350"/>
    </row>
    <row r="70" spans="2:49">
      <c r="B70" s="352"/>
      <c r="C70" s="351"/>
      <c r="D70" s="351"/>
      <c r="E70" s="351"/>
      <c r="F70" s="351"/>
      <c r="G70" s="351"/>
      <c r="H70" s="351"/>
      <c r="I70" s="351"/>
      <c r="J70" s="351"/>
      <c r="K70" s="350"/>
    </row>
    <row r="71" spans="2:49">
      <c r="B71" s="358"/>
      <c r="C71" s="357"/>
      <c r="D71" s="357"/>
      <c r="E71" s="357"/>
      <c r="F71" s="357"/>
      <c r="G71" s="357"/>
      <c r="H71" s="357"/>
      <c r="I71" s="357"/>
      <c r="J71" s="357"/>
      <c r="K71" s="356"/>
    </row>
    <row r="72" spans="2:49">
      <c r="B72" s="358"/>
      <c r="C72" s="357"/>
      <c r="D72" s="357"/>
      <c r="E72" s="357"/>
      <c r="F72" s="357"/>
      <c r="G72" s="357"/>
      <c r="H72" s="357"/>
      <c r="I72" s="357"/>
      <c r="J72" s="357"/>
      <c r="K72" s="356"/>
    </row>
    <row r="73" spans="2:49">
      <c r="B73" s="358"/>
      <c r="C73" s="357"/>
      <c r="D73" s="357"/>
      <c r="E73" s="357"/>
      <c r="F73" s="357"/>
      <c r="G73" s="357"/>
      <c r="H73" s="357"/>
      <c r="I73" s="357"/>
      <c r="J73" s="357"/>
      <c r="K73" s="356"/>
    </row>
    <row r="74" spans="2:49" ht="7.5" customHeight="1">
      <c r="B74" s="358"/>
      <c r="C74" s="357"/>
      <c r="D74" s="357"/>
      <c r="E74" s="357"/>
      <c r="F74" s="357"/>
      <c r="G74" s="357"/>
      <c r="H74" s="357"/>
      <c r="I74" s="357"/>
      <c r="J74" s="357"/>
      <c r="K74" s="356"/>
    </row>
    <row r="75" spans="2:49" s="359" customFormat="1" ht="10.5" customHeight="1">
      <c r="B75" s="377"/>
      <c r="C75" s="378" t="s">
        <v>513</v>
      </c>
      <c r="D75" s="378" t="s">
        <v>512</v>
      </c>
      <c r="E75" s="378" t="s">
        <v>515</v>
      </c>
      <c r="F75" s="378" t="s">
        <v>514</v>
      </c>
      <c r="G75" s="378" t="s">
        <v>517</v>
      </c>
      <c r="H75" s="378" t="s">
        <v>516</v>
      </c>
      <c r="I75" s="378" t="s">
        <v>493</v>
      </c>
      <c r="J75" s="378"/>
      <c r="K75" s="379"/>
    </row>
    <row r="76" spans="2:49" s="359" customFormat="1">
      <c r="B76" s="557" t="str">
        <f>TEXT(LY," mmm-yyyy")</f>
        <v xml:space="preserve"> Jun-2020</v>
      </c>
      <c r="C76" s="1411">
        <v>26.454000000000008</v>
      </c>
      <c r="D76" s="1411">
        <v>0</v>
      </c>
      <c r="E76" s="1411">
        <v>19</v>
      </c>
      <c r="F76" s="1411">
        <v>0</v>
      </c>
      <c r="G76" s="1411">
        <v>0</v>
      </c>
      <c r="H76" s="1411">
        <v>7.8290000000000077</v>
      </c>
      <c r="I76" s="1411">
        <v>0</v>
      </c>
      <c r="J76" s="547"/>
      <c r="K76" s="379"/>
      <c r="L76" s="359">
        <v>0</v>
      </c>
      <c r="M76" s="359">
        <v>567</v>
      </c>
      <c r="N76" s="359">
        <v>0</v>
      </c>
      <c r="O76" s="359">
        <v>0</v>
      </c>
      <c r="P76" s="359">
        <v>0</v>
      </c>
      <c r="Q76" s="359">
        <v>0</v>
      </c>
      <c r="R76" s="359">
        <v>451</v>
      </c>
      <c r="S76" s="359">
        <v>1.2865999999999076</v>
      </c>
      <c r="T76" s="359">
        <v>0</v>
      </c>
      <c r="U76" s="359">
        <v>0</v>
      </c>
      <c r="V76" s="359">
        <v>6.7976999999991676</v>
      </c>
      <c r="W76" s="359">
        <v>0.17850000000001387</v>
      </c>
      <c r="X76" s="359">
        <v>0</v>
      </c>
      <c r="Y76" s="359">
        <v>1.0819637499999999</v>
      </c>
      <c r="Z76" s="359">
        <v>0</v>
      </c>
      <c r="AA76" s="359">
        <v>19.442500000001019</v>
      </c>
      <c r="AB76" s="359">
        <v>19.653000000002066</v>
      </c>
      <c r="AC76" s="359">
        <v>19.10166666666737</v>
      </c>
      <c r="AD76" s="359">
        <v>16.081000000000586</v>
      </c>
      <c r="AE76" s="359">
        <v>0</v>
      </c>
      <c r="AF76" s="359">
        <v>0</v>
      </c>
      <c r="AG76" s="359">
        <v>0</v>
      </c>
      <c r="AH76" s="359">
        <v>48.94999999999709</v>
      </c>
      <c r="AI76" s="359">
        <v>3.0019783530660789</v>
      </c>
      <c r="AJ76" s="359">
        <v>0</v>
      </c>
      <c r="AK76" s="359">
        <v>1.9156894477796413</v>
      </c>
      <c r="AL76" s="359">
        <v>4.5073980894076158</v>
      </c>
      <c r="AM76" s="359">
        <v>15.975863420595488</v>
      </c>
      <c r="AN76" s="359">
        <v>5.1698430612489688E-2</v>
      </c>
      <c r="AO76" s="359">
        <v>4</v>
      </c>
      <c r="AP76" s="359">
        <v>156.46283843269703</v>
      </c>
      <c r="AQ76" s="359">
        <v>26.454000000000008</v>
      </c>
      <c r="AR76" s="359">
        <v>0</v>
      </c>
      <c r="AS76" s="359">
        <v>19</v>
      </c>
      <c r="AT76" s="359">
        <v>0</v>
      </c>
      <c r="AU76" s="359">
        <v>0</v>
      </c>
      <c r="AV76" s="359">
        <v>7.8290000000000077</v>
      </c>
      <c r="AW76" s="359">
        <v>0</v>
      </c>
    </row>
    <row r="77" spans="2:49" s="359" customFormat="1">
      <c r="B77" s="557" t="str">
        <f>TEXT(TY," mmm-yyyy")</f>
        <v xml:space="preserve"> Jun-2021</v>
      </c>
      <c r="C77" s="1411">
        <v>0</v>
      </c>
      <c r="D77" s="1411">
        <v>74</v>
      </c>
      <c r="E77" s="1411">
        <v>2</v>
      </c>
      <c r="F77" s="1411">
        <v>0</v>
      </c>
      <c r="G77" s="1411">
        <v>0</v>
      </c>
      <c r="H77" s="1411">
        <v>8</v>
      </c>
      <c r="I77" s="1411">
        <v>0</v>
      </c>
      <c r="J77" s="547"/>
      <c r="K77" s="379"/>
      <c r="L77" s="359">
        <v>0</v>
      </c>
      <c r="M77" s="359">
        <v>20.007057163020466</v>
      </c>
      <c r="N77" s="359">
        <v>0</v>
      </c>
      <c r="O77" s="359">
        <v>0</v>
      </c>
      <c r="P77" s="359">
        <v>0</v>
      </c>
      <c r="Q77" s="359">
        <v>0</v>
      </c>
      <c r="R77" s="359">
        <v>0.69027794783886376</v>
      </c>
      <c r="S77" s="359">
        <v>3.4987754285997388E-2</v>
      </c>
      <c r="T77" s="359">
        <v>0</v>
      </c>
      <c r="U77" s="359">
        <v>0</v>
      </c>
      <c r="V77" s="359">
        <v>3.4987754285995619E-2</v>
      </c>
      <c r="W77" s="359">
        <v>6.9951034276012222E-2</v>
      </c>
      <c r="X77" s="359">
        <v>0</v>
      </c>
      <c r="Y77" s="359">
        <v>0.20964959560650795</v>
      </c>
      <c r="Z77" s="359">
        <v>0</v>
      </c>
      <c r="AA77" s="359">
        <v>0.20590541059689818</v>
      </c>
      <c r="AB77" s="359">
        <v>0.2247944645635834</v>
      </c>
      <c r="AC77" s="359">
        <v>0.17870226387905722</v>
      </c>
      <c r="AD77" s="359">
        <v>0.4861266333126516</v>
      </c>
      <c r="AE77" s="359">
        <v>0</v>
      </c>
      <c r="AF77" s="359">
        <v>0</v>
      </c>
      <c r="AG77" s="359">
        <v>0</v>
      </c>
      <c r="AH77" s="359">
        <v>0.11359430241610577</v>
      </c>
      <c r="AI77" s="359">
        <v>5.2472451962719713E-2</v>
      </c>
      <c r="AJ77" s="359">
        <v>0</v>
      </c>
      <c r="AK77" s="359">
        <v>0.1398042740163776</v>
      </c>
      <c r="AL77" s="359">
        <v>0.10488986564107958</v>
      </c>
      <c r="AM77" s="359">
        <v>0.19750892939035328</v>
      </c>
      <c r="AN77" s="359">
        <v>6.1212507339242508E-2</v>
      </c>
      <c r="AO77" s="359">
        <v>6.8965517241379306</v>
      </c>
      <c r="AP77" s="359">
        <v>0.71156235280043523</v>
      </c>
      <c r="AQ77" s="359">
        <v>18.187193201974509</v>
      </c>
      <c r="AR77" s="359">
        <v>0</v>
      </c>
      <c r="AS77" s="359">
        <v>8.6363636363636367</v>
      </c>
      <c r="AT77" s="359">
        <v>0</v>
      </c>
      <c r="AU77" s="359">
        <v>0</v>
      </c>
      <c r="AV77" s="359">
        <v>5.1906463611109315</v>
      </c>
      <c r="AW77" s="359">
        <v>0</v>
      </c>
    </row>
    <row r="78" spans="2:49" s="359" customFormat="1">
      <c r="B78" s="377"/>
      <c r="C78" s="378"/>
      <c r="D78" s="378"/>
      <c r="E78" s="378"/>
      <c r="F78" s="378"/>
      <c r="G78" s="378"/>
      <c r="H78" s="378"/>
      <c r="I78" s="378"/>
      <c r="J78" s="378"/>
      <c r="K78" s="379"/>
    </row>
    <row r="79" spans="2:49">
      <c r="B79" s="377"/>
      <c r="C79" s="378">
        <v>1.04</v>
      </c>
      <c r="D79" s="378"/>
      <c r="E79" s="378"/>
      <c r="F79" s="378"/>
      <c r="G79" s="378"/>
      <c r="H79" s="378"/>
      <c r="I79" s="378"/>
      <c r="J79" s="378"/>
      <c r="K79" s="379"/>
    </row>
    <row r="80" spans="2:49">
      <c r="B80" s="358"/>
      <c r="C80" s="357" t="s">
        <v>709</v>
      </c>
      <c r="D80" s="357"/>
      <c r="E80" s="357" t="s">
        <v>889</v>
      </c>
      <c r="F80" s="357"/>
      <c r="G80" s="357" t="s">
        <v>497</v>
      </c>
      <c r="H80" s="357" t="s">
        <v>498</v>
      </c>
      <c r="I80" s="357">
        <v>369</v>
      </c>
      <c r="J80" s="357">
        <v>7016</v>
      </c>
      <c r="K80" s="356"/>
      <c r="L80" s="347">
        <v>1520</v>
      </c>
      <c r="M80" s="347">
        <v>2951</v>
      </c>
      <c r="N80" s="347">
        <v>12638</v>
      </c>
      <c r="O80" s="347">
        <v>11698</v>
      </c>
      <c r="P80" s="347">
        <v>20498.113145249998</v>
      </c>
      <c r="Q80" s="347">
        <v>2143</v>
      </c>
      <c r="R80" s="347">
        <v>63166</v>
      </c>
      <c r="S80" s="347">
        <v>4416.211510668365</v>
      </c>
      <c r="T80" s="347">
        <v>17053.110805187931</v>
      </c>
      <c r="U80" s="347">
        <v>11535.096307631951</v>
      </c>
      <c r="V80" s="347">
        <v>23864.037627018461</v>
      </c>
      <c r="W80" s="347">
        <v>356.74760000000003</v>
      </c>
      <c r="X80" s="347">
        <v>815.57050000000004</v>
      </c>
      <c r="Y80" s="347">
        <v>595.82000000000005</v>
      </c>
      <c r="Z80" s="347">
        <v>56674.612919993058</v>
      </c>
      <c r="AA80" s="347">
        <v>9459.0651814666708</v>
      </c>
      <c r="AB80" s="347">
        <v>10815.32501895</v>
      </c>
      <c r="AC80" s="347">
        <v>10798.823078066667</v>
      </c>
      <c r="AD80" s="347">
        <v>4050.1481300000005</v>
      </c>
      <c r="AE80" s="347">
        <v>15028.689072500001</v>
      </c>
      <c r="AF80" s="347">
        <v>419.53812695000005</v>
      </c>
      <c r="AG80" s="347">
        <v>8</v>
      </c>
      <c r="AH80" s="347">
        <v>45946.05999999999</v>
      </c>
      <c r="AI80" s="347">
        <v>5114.6000000000004</v>
      </c>
      <c r="AJ80" s="347">
        <v>2893.4666000000002</v>
      </c>
      <c r="AK80" s="347">
        <v>1339</v>
      </c>
      <c r="AL80" s="347">
        <v>5356.69</v>
      </c>
      <c r="AM80" s="347">
        <v>9130</v>
      </c>
      <c r="AN80" s="347">
        <v>93</v>
      </c>
      <c r="AO80" s="347">
        <v>58</v>
      </c>
      <c r="AP80" s="347">
        <v>23141</v>
      </c>
      <c r="AQ80" s="347">
        <v>138.11969999999999</v>
      </c>
      <c r="AR80" s="347">
        <v>1865.26</v>
      </c>
      <c r="AS80" s="347">
        <v>192.88839999999999</v>
      </c>
      <c r="AT80" s="347">
        <v>370.59403200000008</v>
      </c>
      <c r="AU80" s="347">
        <v>102.574141</v>
      </c>
      <c r="AV80" s="347">
        <v>155.714156</v>
      </c>
      <c r="AW80" s="347">
        <v>298.1232</v>
      </c>
    </row>
    <row r="81" spans="2:49">
      <c r="B81" s="355"/>
      <c r="C81" s="354"/>
      <c r="D81" s="354"/>
      <c r="E81" s="354"/>
      <c r="F81" s="354"/>
      <c r="G81" s="354" t="s">
        <v>519</v>
      </c>
      <c r="H81" s="354" t="s">
        <v>498</v>
      </c>
      <c r="I81" s="354">
        <v>369</v>
      </c>
      <c r="J81" s="354">
        <v>7016</v>
      </c>
      <c r="K81" s="353">
        <v>10270</v>
      </c>
      <c r="L81" s="347">
        <v>1520</v>
      </c>
      <c r="M81" s="347">
        <v>2361</v>
      </c>
      <c r="N81" s="347">
        <v>12638</v>
      </c>
      <c r="O81" s="347">
        <v>11698</v>
      </c>
      <c r="P81" s="347">
        <v>20062</v>
      </c>
      <c r="Q81" s="347">
        <v>2143</v>
      </c>
      <c r="R81" s="347">
        <v>61726</v>
      </c>
      <c r="S81" s="347">
        <v>4270.211510668365</v>
      </c>
      <c r="T81" s="347">
        <v>16962.92700499393</v>
      </c>
      <c r="U81" s="347">
        <v>11495.59845763195</v>
      </c>
      <c r="V81" s="347">
        <v>23254.042758262356</v>
      </c>
      <c r="W81" s="347">
        <v>356</v>
      </c>
      <c r="X81" s="347">
        <v>815</v>
      </c>
      <c r="Y81" s="347">
        <v>595.82000000000005</v>
      </c>
      <c r="Z81" s="347">
        <v>55821.219000000005</v>
      </c>
      <c r="AA81" s="347">
        <v>9453</v>
      </c>
      <c r="AB81" s="347">
        <v>10815.32501895</v>
      </c>
      <c r="AC81" s="347">
        <v>10765.514999999999</v>
      </c>
      <c r="AD81" s="347">
        <v>3997.3568</v>
      </c>
      <c r="AE81" s="347">
        <v>14981.329664781881</v>
      </c>
      <c r="AF81" s="347">
        <v>400.399292</v>
      </c>
      <c r="AG81" s="347">
        <v>8</v>
      </c>
      <c r="AH81" s="347">
        <v>45684</v>
      </c>
      <c r="AI81" s="347">
        <v>5083.6000000000004</v>
      </c>
      <c r="AJ81" s="347">
        <v>2874</v>
      </c>
      <c r="AK81" s="347">
        <v>1283.69</v>
      </c>
      <c r="AL81" s="347">
        <v>5356.69</v>
      </c>
      <c r="AM81" s="347">
        <v>9123</v>
      </c>
      <c r="AN81" s="347">
        <v>93</v>
      </c>
      <c r="AO81" s="347">
        <v>54</v>
      </c>
      <c r="AP81" s="347">
        <v>22733</v>
      </c>
      <c r="AQ81" s="347">
        <v>133</v>
      </c>
      <c r="AR81" s="347">
        <v>1809</v>
      </c>
      <c r="AS81" s="347">
        <v>186</v>
      </c>
      <c r="AT81" s="347">
        <v>368.16</v>
      </c>
      <c r="AU81" s="347">
        <v>98.39</v>
      </c>
      <c r="AV81" s="347">
        <v>137.53</v>
      </c>
      <c r="AW81" s="347">
        <v>293</v>
      </c>
    </row>
    <row r="82" spans="2:49">
      <c r="B82" s="352"/>
      <c r="C82" s="351"/>
      <c r="D82" s="351"/>
      <c r="E82" s="351"/>
      <c r="F82" s="351"/>
      <c r="G82" s="351"/>
      <c r="H82" s="351"/>
      <c r="I82" s="351"/>
      <c r="J82" s="351"/>
      <c r="K82" s="350"/>
    </row>
    <row r="83" spans="2:49">
      <c r="B83" s="352"/>
      <c r="C83" s="351"/>
      <c r="D83" s="351"/>
      <c r="E83" s="351"/>
      <c r="F83" s="351"/>
      <c r="G83" s="351"/>
      <c r="H83" s="351"/>
      <c r="I83" s="351"/>
      <c r="J83" s="351"/>
      <c r="K83" s="350"/>
    </row>
    <row r="84" spans="2:49">
      <c r="B84" s="352"/>
      <c r="C84" s="351"/>
      <c r="D84" s="351"/>
      <c r="E84" s="351"/>
      <c r="F84" s="351"/>
      <c r="G84" s="351"/>
      <c r="H84" s="351"/>
      <c r="I84" s="351"/>
      <c r="J84" s="351"/>
      <c r="K84" s="350"/>
    </row>
    <row r="85" spans="2:49">
      <c r="B85" s="352"/>
      <c r="C85" s="351"/>
      <c r="D85" s="351"/>
      <c r="E85" s="351"/>
      <c r="F85" s="351"/>
      <c r="G85" s="351"/>
      <c r="H85" s="351"/>
      <c r="I85" s="351"/>
      <c r="J85" s="351"/>
      <c r="K85" s="350"/>
    </row>
    <row r="86" spans="2:49">
      <c r="B86" s="352"/>
      <c r="C86" s="351"/>
      <c r="D86" s="351"/>
      <c r="E86" s="351"/>
      <c r="F86" s="351"/>
      <c r="G86" s="351"/>
      <c r="H86" s="351"/>
      <c r="I86" s="351"/>
      <c r="J86" s="351"/>
      <c r="K86" s="350"/>
    </row>
    <row r="87" spans="2:49">
      <c r="B87" s="352"/>
      <c r="C87" s="351"/>
      <c r="D87" s="351"/>
      <c r="E87" s="351"/>
      <c r="F87" s="351"/>
      <c r="G87" s="351"/>
      <c r="H87" s="351"/>
      <c r="I87" s="351"/>
      <c r="J87" s="351"/>
      <c r="K87" s="350"/>
    </row>
    <row r="88" spans="2:49">
      <c r="B88" s="352"/>
      <c r="C88" s="351"/>
      <c r="D88" s="351"/>
      <c r="E88" s="351"/>
      <c r="F88" s="351"/>
      <c r="G88" s="351"/>
      <c r="H88" s="351"/>
      <c r="I88" s="351"/>
      <c r="J88" s="351"/>
      <c r="K88" s="350"/>
    </row>
    <row r="89" spans="2:49">
      <c r="B89" s="352"/>
      <c r="C89" s="351"/>
      <c r="D89" s="351"/>
      <c r="E89" s="351"/>
      <c r="F89" s="351"/>
      <c r="G89" s="351"/>
      <c r="H89" s="351"/>
      <c r="I89" s="351"/>
      <c r="J89" s="351"/>
      <c r="K89" s="350"/>
    </row>
    <row r="90" spans="2:49" ht="6.75" customHeight="1">
      <c r="B90" s="352"/>
      <c r="C90" s="351"/>
      <c r="D90" s="351"/>
      <c r="E90" s="351"/>
      <c r="F90" s="351"/>
      <c r="G90" s="351"/>
      <c r="H90" s="351"/>
      <c r="I90" s="351"/>
      <c r="J90" s="351"/>
      <c r="K90" s="350"/>
    </row>
    <row r="91" spans="2:49" ht="12.75" hidden="1" customHeight="1">
      <c r="B91" s="352"/>
      <c r="C91" s="351"/>
      <c r="D91" s="351"/>
      <c r="E91" s="351"/>
      <c r="F91" s="351"/>
      <c r="G91" s="351"/>
      <c r="H91" s="351"/>
      <c r="I91" s="351"/>
      <c r="J91" s="351"/>
      <c r="K91" s="350"/>
    </row>
    <row r="92" spans="2:49">
      <c r="B92" s="352"/>
      <c r="C92" s="351"/>
      <c r="D92" s="351"/>
      <c r="E92" s="351"/>
      <c r="F92" s="351"/>
      <c r="G92" s="351"/>
      <c r="H92" s="351"/>
      <c r="I92" s="351"/>
      <c r="J92" s="351"/>
      <c r="K92" s="350"/>
    </row>
    <row r="93" spans="2:49">
      <c r="B93" s="352"/>
      <c r="C93" s="351"/>
      <c r="D93" s="351"/>
      <c r="E93" s="351"/>
      <c r="F93" s="351"/>
      <c r="G93" s="351"/>
      <c r="H93" s="351"/>
      <c r="I93" s="351"/>
      <c r="J93" s="351"/>
      <c r="K93" s="350"/>
    </row>
    <row r="94" spans="2:49" ht="13.5" thickBot="1">
      <c r="B94" s="349"/>
      <c r="C94" s="348"/>
      <c r="D94" s="348"/>
      <c r="E94" s="348"/>
      <c r="F94" s="348"/>
      <c r="G94" s="348"/>
      <c r="H94" s="348"/>
      <c r="I94" s="348"/>
      <c r="J94" s="348"/>
      <c r="K94" s="1429">
        <v>9</v>
      </c>
    </row>
    <row r="436" ht="23.25" customHeight="1"/>
  </sheetData>
  <mergeCells count="1">
    <mergeCell ref="B2:K2"/>
  </mergeCells>
  <printOptions horizontalCentered="1" verticalCentered="1"/>
  <pageMargins left="0.75" right="0.75" top="1" bottom="1" header="0.5" footer="0.5"/>
  <pageSetup scale="74" orientation="portrait" r:id="rId1"/>
  <headerFooter alignWithMargins="0"/>
  <rowBreaks count="1" manualBreakCount="1">
    <brk id="54" min="1" max="1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2060"/>
  </sheetPr>
  <dimension ref="A1:P436"/>
  <sheetViews>
    <sheetView view="pageBreakPreview" zoomScale="64" zoomScaleNormal="100" zoomScaleSheetLayoutView="64" workbookViewId="0">
      <selection activeCell="J28" sqref="J28"/>
    </sheetView>
  </sheetViews>
  <sheetFormatPr defaultRowHeight="12.75"/>
  <cols>
    <col min="1" max="1" width="3.28515625" customWidth="1"/>
    <col min="3" max="3" width="18.28515625" customWidth="1"/>
    <col min="4" max="4" width="11.28515625" customWidth="1"/>
    <col min="5" max="5" width="20.7109375" customWidth="1"/>
    <col min="7" max="7" width="11.85546875" customWidth="1"/>
    <col min="8" max="8" width="26" customWidth="1"/>
    <col min="9" max="9" width="10.85546875" customWidth="1"/>
    <col min="10" max="10" width="4.28515625" customWidth="1"/>
    <col min="11" max="11" width="8.140625" customWidth="1"/>
  </cols>
  <sheetData>
    <row r="1" spans="2:16" s="1405" customFormat="1" ht="13.5" thickBot="1"/>
    <row r="2" spans="2:16" ht="24" customHeight="1" thickBot="1">
      <c r="B2" s="1690" t="str">
        <f>"10. All India Thermal  PLF Sector-wise (Excluding Gas Based Power Plants) for"&amp; TEXT(TY," mmm-yyyy")</f>
        <v>10. All India Thermal  PLF Sector-wise (Excluding Gas Based Power Plants) for Jun-2021</v>
      </c>
      <c r="C2" s="1691"/>
      <c r="D2" s="1691"/>
      <c r="E2" s="1691"/>
      <c r="F2" s="1691"/>
      <c r="G2" s="1691"/>
      <c r="H2" s="1691"/>
      <c r="I2" s="1692"/>
    </row>
    <row r="3" spans="2:16" s="5" customFormat="1" ht="12" customHeight="1">
      <c r="B3" s="145"/>
      <c r="C3" s="146"/>
      <c r="D3" s="146"/>
      <c r="E3" s="146"/>
      <c r="F3" s="146"/>
      <c r="G3" s="146"/>
      <c r="H3" s="146"/>
      <c r="I3" s="147"/>
    </row>
    <row r="4" spans="2:16" ht="36" customHeight="1">
      <c r="B4" s="14"/>
      <c r="C4" s="1109"/>
      <c r="D4" s="1730" t="s">
        <v>1014</v>
      </c>
      <c r="E4" s="1730"/>
      <c r="F4" s="1"/>
      <c r="G4" s="1"/>
      <c r="H4" s="1"/>
      <c r="I4" s="1406"/>
    </row>
    <row r="5" spans="2:16" ht="15">
      <c r="B5" s="14"/>
      <c r="C5" s="27" t="s">
        <v>404</v>
      </c>
      <c r="D5" s="808" t="str">
        <f>TEXT(LY," mmm-yyyy")</f>
        <v xml:space="preserve"> Jun-2020</v>
      </c>
      <c r="E5" s="257" t="str">
        <f>TEXT(TY," mmm-yyyy")</f>
        <v xml:space="preserve"> Jun-2021</v>
      </c>
      <c r="F5" s="1"/>
      <c r="G5" s="1"/>
      <c r="H5" s="1"/>
      <c r="I5" s="1406"/>
    </row>
    <row r="6" spans="2:16" ht="15">
      <c r="B6" s="14"/>
      <c r="C6" s="28" t="s">
        <v>415</v>
      </c>
      <c r="D6" s="29">
        <f>Data!P133</f>
        <v>58.500273786984444</v>
      </c>
      <c r="E6" s="29">
        <f>Data!O133</f>
        <v>66.429873613384245</v>
      </c>
      <c r="F6" s="1"/>
      <c r="G6" s="1"/>
      <c r="H6" s="1"/>
      <c r="I6" s="1406"/>
    </row>
    <row r="7" spans="2:16" ht="15">
      <c r="B7" s="14"/>
      <c r="C7" s="28" t="s">
        <v>413</v>
      </c>
      <c r="D7" s="29">
        <f>Data!P135</f>
        <v>39.727570133190568</v>
      </c>
      <c r="E7" s="29">
        <f>Data!O135</f>
        <v>44.603037915947993</v>
      </c>
      <c r="F7" s="1"/>
      <c r="G7" s="1"/>
      <c r="H7" s="1"/>
      <c r="I7" s="1406"/>
    </row>
    <row r="8" spans="2:16" ht="16.5" customHeight="1">
      <c r="B8" s="14"/>
      <c r="C8" s="724" t="s">
        <v>891</v>
      </c>
      <c r="D8" s="29">
        <f>Data!P137</f>
        <v>51.754341059873866</v>
      </c>
      <c r="E8" s="29">
        <f>Data!O137</f>
        <v>54.68241400545439</v>
      </c>
      <c r="F8" s="1"/>
      <c r="G8" s="1"/>
      <c r="H8" s="1"/>
      <c r="I8" s="1406"/>
    </row>
    <row r="9" spans="2:16" s="707" customFormat="1" ht="14.25" customHeight="1">
      <c r="B9" s="14"/>
      <c r="C9" s="724" t="s">
        <v>892</v>
      </c>
      <c r="D9" s="29">
        <f>Data!P136</f>
        <v>56.101571063207892</v>
      </c>
      <c r="E9" s="29">
        <f>Data!O136</f>
        <v>61.402894491129778</v>
      </c>
      <c r="F9" s="1"/>
      <c r="G9" s="1"/>
      <c r="H9" s="1"/>
      <c r="I9" s="1406"/>
    </row>
    <row r="10" spans="2:16" ht="15">
      <c r="B10" s="14"/>
      <c r="C10" s="30" t="s">
        <v>420</v>
      </c>
      <c r="D10" s="29">
        <f>Data!P138</f>
        <v>49.881817919087048</v>
      </c>
      <c r="E10" s="29">
        <f>Data!O138</f>
        <v>55.051628755332452</v>
      </c>
      <c r="F10" s="1"/>
      <c r="G10" s="1"/>
      <c r="H10" s="1"/>
      <c r="I10" s="1406"/>
    </row>
    <row r="11" spans="2:16" ht="17.25" customHeight="1">
      <c r="B11" s="14"/>
      <c r="C11" s="1"/>
      <c r="D11" s="1"/>
      <c r="E11" s="16"/>
      <c r="F11" s="31"/>
      <c r="G11" s="1"/>
      <c r="H11" s="16"/>
      <c r="I11" s="1406"/>
    </row>
    <row r="12" spans="2:16">
      <c r="B12" s="14"/>
      <c r="C12" s="1"/>
      <c r="D12" s="1"/>
      <c r="E12" s="16"/>
      <c r="F12" s="1"/>
      <c r="G12" s="1"/>
      <c r="H12" s="1"/>
      <c r="I12" s="1406"/>
    </row>
    <row r="13" spans="2:16">
      <c r="B13" s="14"/>
      <c r="C13" s="1"/>
      <c r="D13" s="1"/>
      <c r="E13" s="16"/>
      <c r="F13" s="1"/>
      <c r="G13" s="1"/>
      <c r="H13" s="1"/>
      <c r="I13" s="1406"/>
    </row>
    <row r="14" spans="2:16">
      <c r="B14" s="14"/>
      <c r="C14" s="1"/>
      <c r="D14" s="1"/>
      <c r="E14" s="16"/>
      <c r="F14" s="1"/>
      <c r="G14" s="1"/>
      <c r="H14" s="1"/>
      <c r="I14" s="1406"/>
      <c r="O14">
        <f>38978.35/85990</f>
        <v>0.45328933596929871</v>
      </c>
      <c r="P14">
        <f>O14*100/(30*24)</f>
        <v>6.2956852217958159E-2</v>
      </c>
    </row>
    <row r="15" spans="2:16">
      <c r="B15" s="14"/>
      <c r="C15" s="1"/>
      <c r="D15" s="1"/>
      <c r="E15" s="16"/>
      <c r="F15" s="1"/>
      <c r="G15" s="1"/>
      <c r="H15" s="1"/>
      <c r="I15" s="1406"/>
    </row>
    <row r="16" spans="2:16">
      <c r="B16" s="14"/>
      <c r="C16" s="1"/>
      <c r="D16" s="1"/>
      <c r="E16" s="16"/>
      <c r="F16" s="1"/>
      <c r="G16" s="1"/>
      <c r="H16" s="1"/>
      <c r="I16" s="1406"/>
    </row>
    <row r="17" spans="1:15">
      <c r="B17" s="14"/>
      <c r="C17" s="1"/>
      <c r="D17" s="1"/>
      <c r="E17" s="16"/>
      <c r="F17" s="1"/>
      <c r="G17" s="1"/>
      <c r="H17" s="1"/>
      <c r="I17" s="1406"/>
    </row>
    <row r="18" spans="1:15">
      <c r="B18" s="14"/>
      <c r="C18" s="1"/>
      <c r="D18" s="1"/>
      <c r="E18" s="16"/>
      <c r="F18" s="1"/>
      <c r="G18" s="1"/>
      <c r="H18" s="1"/>
      <c r="I18" s="1406"/>
      <c r="O18">
        <f>29112.27*1000/(64192.9*30*24)</f>
        <v>0.62987820044480514</v>
      </c>
    </row>
    <row r="19" spans="1:15" ht="41.25" customHeight="1">
      <c r="A19" s="410">
        <v>43252</v>
      </c>
      <c r="B19" s="421"/>
      <c r="C19" s="413"/>
      <c r="D19" s="413"/>
      <c r="E19" s="422"/>
      <c r="F19" s="413"/>
      <c r="G19" s="413"/>
      <c r="H19" s="413"/>
      <c r="I19" s="416"/>
      <c r="J19" s="411"/>
      <c r="O19">
        <f>10*1000/(30*24*25)</f>
        <v>0.55555555555555558</v>
      </c>
    </row>
    <row r="20" spans="1:15">
      <c r="B20" s="14"/>
      <c r="C20" s="1"/>
      <c r="D20" s="1"/>
      <c r="E20" s="16"/>
      <c r="F20" s="1"/>
      <c r="G20" s="1"/>
      <c r="H20" s="1"/>
      <c r="I20" s="1406"/>
    </row>
    <row r="21" spans="1:15">
      <c r="B21" s="14"/>
      <c r="C21" s="1"/>
      <c r="D21" s="1"/>
      <c r="E21" s="16"/>
      <c r="F21" s="1"/>
      <c r="G21" s="1"/>
      <c r="H21" s="1"/>
      <c r="I21" s="1406"/>
    </row>
    <row r="22" spans="1:15" ht="35.25" customHeight="1" thickBot="1">
      <c r="B22" s="17"/>
      <c r="C22" s="18"/>
      <c r="D22" s="18"/>
      <c r="E22" s="1431"/>
      <c r="F22" s="18"/>
      <c r="G22" s="18"/>
      <c r="H22" s="18"/>
      <c r="I22" s="218"/>
    </row>
    <row r="23" spans="1:15" ht="24.75" customHeight="1" thickBot="1">
      <c r="B23" s="1690" t="s">
        <v>762</v>
      </c>
      <c r="C23" s="1691"/>
      <c r="D23" s="1691"/>
      <c r="E23" s="1691"/>
      <c r="F23" s="1691"/>
      <c r="G23" s="1691"/>
      <c r="H23" s="1691"/>
      <c r="I23" s="1692"/>
      <c r="M23" s="831"/>
    </row>
    <row r="24" spans="1:15" s="5" customFormat="1" ht="14.25" customHeight="1">
      <c r="B24" s="145"/>
      <c r="C24" s="146"/>
      <c r="D24" s="146"/>
      <c r="E24" s="146"/>
      <c r="F24" s="146"/>
      <c r="G24" s="146"/>
      <c r="H24" s="146"/>
      <c r="I24" s="147"/>
      <c r="K24" s="808" t="s">
        <v>510</v>
      </c>
      <c r="L24" s="808" t="s">
        <v>1224</v>
      </c>
      <c r="M24" s="808" t="s">
        <v>1223</v>
      </c>
    </row>
    <row r="25" spans="1:15" ht="15">
      <c r="B25" s="14"/>
      <c r="C25" s="1"/>
      <c r="D25" s="1"/>
      <c r="E25" s="1"/>
      <c r="F25" s="132"/>
      <c r="G25" s="1"/>
      <c r="H25" s="1"/>
      <c r="I25" s="1406"/>
      <c r="K25" s="402" t="s">
        <v>701</v>
      </c>
      <c r="L25" s="955">
        <v>57.65</v>
      </c>
      <c r="M25" s="955">
        <v>61.16</v>
      </c>
    </row>
    <row r="26" spans="1:15" ht="15">
      <c r="B26" s="14"/>
      <c r="C26" s="1"/>
      <c r="D26" s="1"/>
      <c r="E26" s="1"/>
      <c r="F26" s="132"/>
      <c r="G26" s="1"/>
      <c r="H26" s="1"/>
      <c r="I26" s="1406"/>
      <c r="K26" s="402" t="s">
        <v>702</v>
      </c>
      <c r="L26" s="955">
        <v>60.27</v>
      </c>
      <c r="M26" s="955">
        <v>63.27</v>
      </c>
    </row>
    <row r="27" spans="1:15" ht="15">
      <c r="B27" s="14"/>
      <c r="C27" s="1"/>
      <c r="D27" s="1"/>
      <c r="E27" s="1"/>
      <c r="F27" s="132"/>
      <c r="G27" s="1"/>
      <c r="H27" s="1"/>
      <c r="I27" s="1406"/>
      <c r="K27" s="402" t="s">
        <v>703</v>
      </c>
      <c r="L27" s="540">
        <v>51.53</v>
      </c>
      <c r="M27" s="540">
        <v>66.52</v>
      </c>
    </row>
    <row r="28" spans="1:15" s="405" customFormat="1" ht="15" hidden="1">
      <c r="B28" s="14"/>
      <c r="C28" s="1"/>
      <c r="D28" s="1"/>
      <c r="E28" s="1"/>
      <c r="F28" s="132"/>
      <c r="G28" s="1"/>
      <c r="H28" s="1"/>
      <c r="I28" s="1406"/>
      <c r="K28" s="402" t="s">
        <v>704</v>
      </c>
      <c r="L28" s="540"/>
      <c r="M28" s="540"/>
    </row>
    <row r="29" spans="1:15" s="409" customFormat="1" ht="15" hidden="1">
      <c r="B29" s="14"/>
      <c r="C29" s="1"/>
      <c r="D29" s="1"/>
      <c r="E29" s="1"/>
      <c r="F29" s="132"/>
      <c r="G29" s="1"/>
      <c r="H29" s="1"/>
      <c r="I29" s="1406"/>
      <c r="K29" s="408" t="s">
        <v>705</v>
      </c>
      <c r="L29" s="540"/>
      <c r="M29" s="540"/>
    </row>
    <row r="30" spans="1:15" s="407" customFormat="1" ht="15" hidden="1">
      <c r="B30" s="14"/>
      <c r="C30" s="1"/>
      <c r="D30" s="1"/>
      <c r="E30" s="1"/>
      <c r="F30" s="132"/>
      <c r="G30" s="1"/>
      <c r="H30" s="1"/>
      <c r="I30" s="1406"/>
      <c r="K30" s="408" t="s">
        <v>633</v>
      </c>
      <c r="L30" s="540"/>
      <c r="M30" s="540"/>
    </row>
    <row r="31" spans="1:15" s="426" customFormat="1" ht="15" hidden="1">
      <c r="B31" s="14"/>
      <c r="C31" s="1"/>
      <c r="D31" s="1"/>
      <c r="E31" s="1"/>
      <c r="F31" s="132"/>
      <c r="G31" s="1"/>
      <c r="H31" s="1"/>
      <c r="I31" s="1406"/>
      <c r="K31" s="540" t="s">
        <v>731</v>
      </c>
      <c r="L31" s="540"/>
      <c r="M31" s="540"/>
    </row>
    <row r="32" spans="1:15" s="435" customFormat="1" ht="15" hidden="1">
      <c r="B32" s="14"/>
      <c r="C32" s="1"/>
      <c r="D32" s="1"/>
      <c r="E32" s="1"/>
      <c r="F32" s="132"/>
      <c r="G32" s="1"/>
      <c r="H32" s="1"/>
      <c r="I32" s="1406"/>
      <c r="K32" s="408" t="s">
        <v>706</v>
      </c>
      <c r="L32" s="955"/>
      <c r="M32" s="955"/>
    </row>
    <row r="33" spans="2:13" s="437" customFormat="1" ht="15" hidden="1">
      <c r="B33" s="14"/>
      <c r="C33" s="1"/>
      <c r="D33" s="1"/>
      <c r="E33" s="1"/>
      <c r="F33" s="132"/>
      <c r="G33" s="1"/>
      <c r="H33" s="1"/>
      <c r="I33" s="1406"/>
      <c r="K33" s="438" t="s">
        <v>649</v>
      </c>
      <c r="L33" s="1013"/>
      <c r="M33" s="725"/>
    </row>
    <row r="34" spans="2:13" ht="12.75" hidden="1" customHeight="1">
      <c r="B34" s="14"/>
      <c r="C34" s="1"/>
      <c r="D34" s="1"/>
      <c r="E34" s="1"/>
      <c r="F34" s="1"/>
      <c r="G34" s="1"/>
      <c r="H34" s="1"/>
      <c r="I34" s="1406"/>
      <c r="K34" s="439" t="s">
        <v>884</v>
      </c>
      <c r="L34" s="955"/>
      <c r="M34" s="955"/>
    </row>
    <row r="35" spans="2:13" ht="13.5" hidden="1" customHeight="1">
      <c r="B35" s="14"/>
      <c r="C35" s="1"/>
      <c r="D35" s="1"/>
      <c r="E35" s="1"/>
      <c r="F35" s="1"/>
      <c r="G35" s="1"/>
      <c r="H35" s="1"/>
      <c r="I35" s="1406"/>
      <c r="K35" s="540" t="s">
        <v>890</v>
      </c>
      <c r="L35" s="955"/>
      <c r="M35" s="955"/>
    </row>
    <row r="36" spans="2:13" hidden="1">
      <c r="B36" s="14"/>
      <c r="C36" s="1"/>
      <c r="D36" s="1"/>
      <c r="E36" s="1"/>
      <c r="F36" s="1"/>
      <c r="G36" s="1"/>
      <c r="H36" s="1"/>
      <c r="I36" s="1406"/>
      <c r="K36" s="725" t="s">
        <v>893</v>
      </c>
      <c r="L36" s="955"/>
      <c r="M36" s="955"/>
    </row>
    <row r="37" spans="2:13" hidden="1">
      <c r="B37" s="14"/>
      <c r="C37" s="1"/>
      <c r="D37" s="1"/>
      <c r="E37" s="1"/>
      <c r="F37" s="1"/>
      <c r="G37" s="1"/>
      <c r="H37" s="1"/>
      <c r="I37" s="1406"/>
      <c r="K37" s="725" t="s">
        <v>703</v>
      </c>
      <c r="L37" s="955">
        <v>51.526478400157615</v>
      </c>
      <c r="M37" s="955">
        <v>66.51660299461669</v>
      </c>
    </row>
    <row r="38" spans="2:13">
      <c r="B38" s="14"/>
      <c r="C38" s="1"/>
      <c r="D38" s="1"/>
      <c r="E38" s="1"/>
      <c r="F38" s="1"/>
      <c r="G38" s="1"/>
      <c r="H38" s="1"/>
      <c r="I38" s="1406"/>
      <c r="K38" s="725" t="s">
        <v>704</v>
      </c>
      <c r="L38" s="29">
        <v>42.16968538450633</v>
      </c>
      <c r="M38" s="29">
        <v>66.694714542690534</v>
      </c>
    </row>
    <row r="39" spans="2:13">
      <c r="B39" s="14"/>
      <c r="C39" s="1"/>
      <c r="D39" s="1"/>
      <c r="E39" s="1"/>
      <c r="F39" s="1"/>
      <c r="G39" s="1"/>
      <c r="H39" s="1"/>
      <c r="I39" s="1406"/>
      <c r="K39" s="725" t="s">
        <v>705</v>
      </c>
      <c r="L39" s="29">
        <v>48</v>
      </c>
      <c r="M39" s="29">
        <v>54.32</v>
      </c>
    </row>
    <row r="40" spans="2:13">
      <c r="B40" s="14"/>
      <c r="C40" s="1"/>
      <c r="D40" s="1"/>
      <c r="E40" s="1"/>
      <c r="F40" s="1"/>
      <c r="G40" s="1"/>
      <c r="H40" s="1"/>
      <c r="I40" s="1406"/>
      <c r="K40" s="725" t="s">
        <v>633</v>
      </c>
      <c r="L40" s="29">
        <v>49.88</v>
      </c>
      <c r="M40" s="29">
        <v>55.05</v>
      </c>
    </row>
    <row r="41" spans="2:13">
      <c r="B41" s="14"/>
      <c r="C41" s="1"/>
      <c r="D41" s="1"/>
      <c r="E41" s="1"/>
      <c r="F41" s="1"/>
      <c r="G41" s="1"/>
      <c r="H41" s="1"/>
      <c r="I41" s="1406"/>
      <c r="K41" s="725" t="s">
        <v>731</v>
      </c>
      <c r="L41" s="29"/>
      <c r="M41" s="29"/>
    </row>
    <row r="42" spans="2:13">
      <c r="B42" s="14"/>
      <c r="C42" s="1"/>
      <c r="D42" s="1"/>
      <c r="E42" s="1"/>
      <c r="F42" s="1"/>
      <c r="G42" s="1"/>
      <c r="H42" s="1"/>
      <c r="I42" s="1406"/>
      <c r="K42" s="725" t="s">
        <v>1038</v>
      </c>
      <c r="L42" s="29"/>
      <c r="M42" s="29"/>
    </row>
    <row r="43" spans="2:13">
      <c r="B43" s="14"/>
      <c r="C43" s="1"/>
      <c r="D43" s="1"/>
      <c r="E43" s="1"/>
      <c r="F43" s="1"/>
      <c r="G43" s="1"/>
      <c r="H43" s="1"/>
      <c r="I43" s="1406"/>
      <c r="K43" s="725" t="s">
        <v>1078</v>
      </c>
      <c r="L43" s="29"/>
      <c r="M43" s="29"/>
    </row>
    <row r="44" spans="2:13">
      <c r="B44" s="14"/>
      <c r="C44" s="1"/>
      <c r="D44" s="1"/>
      <c r="E44" s="1"/>
      <c r="F44" s="1"/>
      <c r="G44" s="1"/>
      <c r="H44" s="1"/>
      <c r="I44" s="1406"/>
      <c r="K44" s="725" t="s">
        <v>1093</v>
      </c>
      <c r="L44" s="29"/>
      <c r="M44" s="29"/>
    </row>
    <row r="45" spans="2:13">
      <c r="B45" s="14"/>
      <c r="C45" s="1"/>
      <c r="D45" s="1"/>
      <c r="E45" s="1"/>
      <c r="F45" s="1"/>
      <c r="G45" s="1"/>
      <c r="H45" s="1"/>
      <c r="I45" s="1406"/>
      <c r="K45" s="725" t="s">
        <v>1096</v>
      </c>
      <c r="L45" s="29"/>
      <c r="M45" s="29"/>
    </row>
    <row r="46" spans="2:13">
      <c r="B46" s="14"/>
      <c r="C46" s="1"/>
      <c r="D46" s="1"/>
      <c r="E46" s="1"/>
      <c r="F46" s="1"/>
      <c r="G46" s="1"/>
      <c r="H46" s="1"/>
      <c r="I46" s="1406"/>
      <c r="K46" s="725" t="s">
        <v>1187</v>
      </c>
      <c r="L46" s="29"/>
      <c r="M46" s="29"/>
    </row>
    <row r="47" spans="2:13">
      <c r="B47" s="14"/>
      <c r="C47" s="1"/>
      <c r="D47" s="1"/>
      <c r="E47" s="1"/>
      <c r="F47" s="1"/>
      <c r="G47" s="1"/>
      <c r="H47" s="1"/>
      <c r="I47" s="1406"/>
      <c r="K47" s="1"/>
      <c r="L47" s="1"/>
      <c r="M47" s="1"/>
    </row>
    <row r="48" spans="2:13">
      <c r="B48" s="14"/>
      <c r="C48" s="1"/>
      <c r="D48" s="1"/>
      <c r="E48" s="1"/>
      <c r="F48" s="1"/>
      <c r="G48" s="1"/>
      <c r="H48" s="1"/>
      <c r="I48" s="1406"/>
      <c r="K48" s="1"/>
      <c r="L48" s="1"/>
      <c r="M48" s="1"/>
    </row>
    <row r="49" spans="1:13">
      <c r="B49" s="14"/>
      <c r="C49" s="1"/>
      <c r="D49" s="1"/>
      <c r="E49" s="1"/>
      <c r="F49" s="1"/>
      <c r="G49" s="1"/>
      <c r="H49" s="1"/>
      <c r="I49" s="1406"/>
      <c r="K49" s="1"/>
      <c r="L49" s="1"/>
      <c r="M49" s="1"/>
    </row>
    <row r="50" spans="1:13">
      <c r="A50" s="1"/>
      <c r="B50" s="14"/>
      <c r="C50" s="1"/>
      <c r="D50" s="1"/>
      <c r="E50" s="1"/>
      <c r="F50" s="1"/>
      <c r="G50" s="1"/>
      <c r="H50" s="1"/>
      <c r="I50" s="1406"/>
      <c r="K50" s="1"/>
      <c r="L50" s="1"/>
      <c r="M50" s="1"/>
    </row>
    <row r="51" spans="1:13">
      <c r="A51" s="1"/>
      <c r="B51" s="14"/>
      <c r="C51" s="1"/>
      <c r="D51" s="1"/>
      <c r="E51" s="1"/>
      <c r="F51" s="1"/>
      <c r="G51" s="1"/>
      <c r="H51" s="1"/>
      <c r="I51" s="1406"/>
      <c r="K51" s="1"/>
      <c r="L51" s="1"/>
      <c r="M51" s="1"/>
    </row>
    <row r="52" spans="1:13" ht="21.75" customHeight="1">
      <c r="A52" s="1"/>
      <c r="B52" s="14"/>
      <c r="C52" s="1"/>
      <c r="D52" s="1"/>
      <c r="E52" s="1"/>
      <c r="F52" s="1"/>
      <c r="G52" s="1"/>
      <c r="H52" s="1"/>
      <c r="I52" s="1406"/>
      <c r="K52" s="148"/>
      <c r="L52" s="1"/>
      <c r="M52" s="1"/>
    </row>
    <row r="53" spans="1:13" ht="44.25" customHeight="1">
      <c r="A53" s="1"/>
      <c r="B53" s="149"/>
      <c r="C53" s="1"/>
      <c r="D53" s="1"/>
      <c r="E53" s="1"/>
      <c r="F53" s="1"/>
      <c r="G53" s="1"/>
      <c r="H53" s="1"/>
      <c r="I53" s="1406"/>
      <c r="J53" s="1"/>
      <c r="K53" s="1"/>
      <c r="L53" s="1"/>
      <c r="M53" s="1"/>
    </row>
    <row r="54" spans="1:13" ht="27" customHeight="1">
      <c r="A54" s="1"/>
      <c r="B54" s="149"/>
      <c r="C54" s="1"/>
      <c r="D54" s="1"/>
      <c r="E54" s="1"/>
      <c r="F54" s="1"/>
      <c r="G54" s="1"/>
      <c r="H54" s="1"/>
      <c r="I54" s="1406"/>
      <c r="J54" s="1"/>
      <c r="K54" s="1"/>
      <c r="L54" s="1"/>
      <c r="M54" s="1"/>
    </row>
    <row r="55" spans="1:13">
      <c r="B55" s="14"/>
      <c r="C55" s="1"/>
      <c r="D55" s="1"/>
      <c r="E55" s="1"/>
      <c r="F55" s="1"/>
      <c r="G55" s="1"/>
      <c r="H55" s="1"/>
      <c r="I55" s="1406"/>
      <c r="L55" s="1"/>
      <c r="M55" s="1"/>
    </row>
    <row r="56" spans="1:13" ht="13.5" thickBot="1">
      <c r="B56" s="14"/>
      <c r="C56" s="1"/>
      <c r="D56" s="1"/>
      <c r="E56" s="1"/>
      <c r="F56" s="1"/>
      <c r="G56" s="1"/>
      <c r="H56" s="1"/>
      <c r="I56" s="1406"/>
      <c r="K56" s="1" t="s">
        <v>1037</v>
      </c>
      <c r="L56" s="18"/>
      <c r="M56" s="18"/>
    </row>
    <row r="57" spans="1:13" ht="13.5" thickBot="1">
      <c r="B57" s="17"/>
      <c r="C57" s="18"/>
      <c r="D57" s="18"/>
      <c r="E57" s="18"/>
      <c r="F57" s="18"/>
      <c r="G57" s="18"/>
      <c r="H57" s="18"/>
      <c r="I57" s="101">
        <v>10</v>
      </c>
    </row>
    <row r="58" spans="1:13">
      <c r="B58" s="1"/>
      <c r="C58" s="1"/>
      <c r="D58" s="1"/>
      <c r="E58" s="1"/>
      <c r="F58" s="1"/>
      <c r="G58" s="1"/>
      <c r="H58" s="1"/>
      <c r="I58" s="1"/>
    </row>
    <row r="59" spans="1:13">
      <c r="B59" s="1"/>
      <c r="C59" s="1"/>
      <c r="D59" s="1"/>
      <c r="E59" s="1"/>
      <c r="F59" s="1"/>
      <c r="G59" s="1"/>
      <c r="H59" s="1"/>
      <c r="I59" s="1"/>
    </row>
    <row r="60" spans="1:13" ht="13.5" thickBot="1">
      <c r="B60" s="18"/>
      <c r="C60" s="18"/>
      <c r="D60" s="18"/>
      <c r="E60" s="18"/>
      <c r="F60" s="18"/>
      <c r="G60" s="18"/>
      <c r="H60" s="18"/>
    </row>
    <row r="436" ht="23.25" customHeight="1"/>
  </sheetData>
  <mergeCells count="3">
    <mergeCell ref="D4:E4"/>
    <mergeCell ref="B23:I23"/>
    <mergeCell ref="B2:I2"/>
  </mergeCells>
  <phoneticPr fontId="17" type="noConversion"/>
  <printOptions horizontalCentered="1" verticalCentered="1"/>
  <pageMargins left="0.75" right="0.75" top="1" bottom="1" header="0.5" footer="0.5"/>
  <pageSetup scale="75"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2060"/>
  </sheetPr>
  <dimension ref="A1:Q435"/>
  <sheetViews>
    <sheetView view="pageBreakPreview" topLeftCell="A10" zoomScale="85" zoomScaleNormal="100" zoomScaleSheetLayoutView="85" workbookViewId="0">
      <selection activeCell="J28" sqref="J28"/>
    </sheetView>
  </sheetViews>
  <sheetFormatPr defaultColWidth="15.7109375" defaultRowHeight="12.75"/>
  <cols>
    <col min="1" max="1" width="4.28515625" customWidth="1"/>
    <col min="2" max="2" width="2.7109375" customWidth="1"/>
    <col min="3" max="3" width="17.7109375" customWidth="1"/>
    <col min="4" max="4" width="12.85546875" customWidth="1"/>
    <col min="5" max="5" width="21.5703125" customWidth="1"/>
    <col min="6" max="8" width="10.7109375" customWidth="1"/>
    <col min="9" max="9" width="11.42578125" customWidth="1"/>
    <col min="10" max="10" width="4.5703125" bestFit="1" customWidth="1"/>
    <col min="11" max="11" width="7.7109375" customWidth="1"/>
  </cols>
  <sheetData>
    <row r="1" spans="1:17" ht="13.5" thickBot="1">
      <c r="A1" s="1"/>
      <c r="B1" s="1"/>
      <c r="C1" s="1"/>
      <c r="J1" s="1"/>
      <c r="K1" s="1"/>
    </row>
    <row r="2" spans="1:17" ht="18.75" customHeight="1">
      <c r="B2" s="1742" t="s">
        <v>569</v>
      </c>
      <c r="C2" s="1743"/>
      <c r="D2" s="1743"/>
      <c r="E2" s="1743"/>
      <c r="F2" s="1743"/>
      <c r="G2" s="1743"/>
      <c r="H2" s="1743"/>
      <c r="I2" s="1743"/>
      <c r="J2" s="1744"/>
      <c r="K2" s="1"/>
    </row>
    <row r="3" spans="1:17" ht="15.75">
      <c r="B3" s="14"/>
      <c r="C3" s="68"/>
      <c r="D3" s="1"/>
      <c r="E3" s="1"/>
      <c r="F3" s="1"/>
      <c r="G3" s="1"/>
      <c r="H3" s="1"/>
      <c r="I3" s="1"/>
      <c r="J3" s="1406"/>
      <c r="K3" s="1"/>
    </row>
    <row r="4" spans="1:17" ht="15.75">
      <c r="B4" s="14"/>
      <c r="C4" s="19"/>
      <c r="D4" s="1003" t="s">
        <v>443</v>
      </c>
      <c r="E4" s="1003" t="s">
        <v>97</v>
      </c>
      <c r="F4" s="1003" t="s">
        <v>106</v>
      </c>
      <c r="G4" s="1003" t="s">
        <v>719</v>
      </c>
      <c r="H4" s="1003" t="s">
        <v>631</v>
      </c>
      <c r="I4" s="1003" t="s">
        <v>1020</v>
      </c>
      <c r="J4" s="1406"/>
      <c r="K4" s="1"/>
    </row>
    <row r="5" spans="1:17">
      <c r="B5" s="14"/>
      <c r="C5" s="1003" t="s">
        <v>425</v>
      </c>
      <c r="D5" s="1404">
        <v>22.84</v>
      </c>
      <c r="E5" s="187">
        <v>22.77</v>
      </c>
      <c r="F5" s="187">
        <v>21.81</v>
      </c>
      <c r="G5" s="187">
        <v>21.42</v>
      </c>
      <c r="H5" s="832">
        <v>21.04</v>
      </c>
      <c r="I5" s="1404">
        <v>20.66</v>
      </c>
      <c r="J5" s="1406"/>
      <c r="K5" s="1"/>
    </row>
    <row r="6" spans="1:17">
      <c r="B6" s="14"/>
      <c r="C6" s="1003" t="s">
        <v>82</v>
      </c>
      <c r="D6" s="1404">
        <v>22.62</v>
      </c>
      <c r="E6" s="187">
        <v>25.72</v>
      </c>
      <c r="F6" s="187">
        <v>23.98</v>
      </c>
      <c r="G6" s="832">
        <v>23.56</v>
      </c>
      <c r="H6" s="832">
        <v>22.31</v>
      </c>
      <c r="I6" s="1404">
        <v>18.190000000000001</v>
      </c>
      <c r="J6" s="1406"/>
      <c r="K6" s="1"/>
    </row>
    <row r="7" spans="1:17" ht="15">
      <c r="B7" s="14"/>
      <c r="C7" s="1" t="s">
        <v>1015</v>
      </c>
      <c r="D7" s="1"/>
      <c r="E7" s="1"/>
      <c r="F7" s="1"/>
      <c r="G7" s="1"/>
      <c r="H7" s="1"/>
      <c r="I7" s="1"/>
      <c r="J7" s="1406"/>
      <c r="K7" s="1"/>
      <c r="L7" s="565">
        <v>25.478238953218526</v>
      </c>
      <c r="M7" s="565">
        <v>22.575689069655432</v>
      </c>
      <c r="N7" s="565">
        <v>24.624166618519148</v>
      </c>
    </row>
    <row r="8" spans="1:17" ht="63.75" customHeight="1">
      <c r="B8" s="14"/>
      <c r="C8" s="1754" t="s">
        <v>1212</v>
      </c>
      <c r="D8" s="1754"/>
      <c r="E8" s="1754"/>
      <c r="F8" s="1754"/>
      <c r="G8" s="1754"/>
      <c r="H8" s="1754"/>
      <c r="I8" s="1754"/>
      <c r="J8" s="1406"/>
      <c r="K8" s="1"/>
    </row>
    <row r="9" spans="1:17" ht="13.5" thickBot="1">
      <c r="B9" s="14"/>
      <c r="C9" s="1"/>
      <c r="D9" s="1"/>
      <c r="E9" s="1"/>
      <c r="F9" s="1"/>
      <c r="G9" s="1"/>
      <c r="H9" s="1"/>
      <c r="I9" s="1"/>
      <c r="J9" s="1406"/>
      <c r="K9" s="1"/>
    </row>
    <row r="10" spans="1:17" ht="25.5" customHeight="1" thickBot="1">
      <c r="B10" s="1745" t="s">
        <v>759</v>
      </c>
      <c r="C10" s="1746"/>
      <c r="D10" s="1746"/>
      <c r="E10" s="1746"/>
      <c r="F10" s="1746"/>
      <c r="G10" s="1746"/>
      <c r="H10" s="1746"/>
      <c r="I10" s="1746"/>
      <c r="J10" s="1747"/>
      <c r="K10" s="1"/>
    </row>
    <row r="11" spans="1:17" ht="17.25" customHeight="1">
      <c r="B11" s="14"/>
      <c r="C11" s="70"/>
      <c r="D11" s="26"/>
      <c r="E11" s="26"/>
      <c r="F11" s="26"/>
      <c r="G11" s="26"/>
      <c r="H11" s="26"/>
      <c r="I11" s="26"/>
      <c r="J11" s="1406"/>
      <c r="K11" s="1"/>
      <c r="M11" s="5"/>
    </row>
    <row r="12" spans="1:17" ht="18.75" customHeight="1" thickBot="1">
      <c r="B12" s="14"/>
      <c r="C12" s="300" t="s">
        <v>398</v>
      </c>
      <c r="D12" s="1748" t="s">
        <v>757</v>
      </c>
      <c r="E12" s="1748"/>
      <c r="F12" s="1752" t="s">
        <v>83</v>
      </c>
      <c r="G12" s="1752"/>
      <c r="H12" s="1752"/>
      <c r="I12" s="1753"/>
      <c r="J12" s="1406"/>
      <c r="K12" s="1"/>
      <c r="M12" s="270"/>
    </row>
    <row r="13" spans="1:17" ht="25.5" customHeight="1" thickTop="1">
      <c r="B13" s="14"/>
      <c r="C13" s="259">
        <v>597464</v>
      </c>
      <c r="D13" s="1751" t="s">
        <v>758</v>
      </c>
      <c r="E13" s="1751"/>
      <c r="F13" s="1749">
        <v>100</v>
      </c>
      <c r="G13" s="1749"/>
      <c r="H13" s="1749"/>
      <c r="I13" s="1750"/>
      <c r="J13" s="1406"/>
      <c r="K13" s="1"/>
      <c r="M13" s="564">
        <v>23.97</v>
      </c>
      <c r="N13" s="564">
        <v>23.65</v>
      </c>
      <c r="O13" s="564">
        <v>23.04</v>
      </c>
      <c r="P13" s="564">
        <v>22.84</v>
      </c>
      <c r="Q13" s="564">
        <v>22.77</v>
      </c>
    </row>
    <row r="14" spans="1:17" ht="16.5" customHeight="1">
      <c r="B14" s="14"/>
      <c r="C14" s="1733"/>
      <c r="D14" s="1733"/>
      <c r="E14" s="1733"/>
      <c r="F14" s="1733"/>
      <c r="G14" s="1733"/>
      <c r="H14" s="1733"/>
      <c r="I14" s="1733"/>
      <c r="J14" s="1406"/>
      <c r="K14" s="1"/>
    </row>
    <row r="15" spans="1:17" ht="31.5" customHeight="1">
      <c r="A15" s="410"/>
      <c r="B15" s="421"/>
      <c r="C15" s="427" t="s">
        <v>478</v>
      </c>
      <c r="D15" s="428"/>
      <c r="E15" s="37"/>
      <c r="F15" s="37"/>
      <c r="G15" s="37"/>
      <c r="H15" s="37"/>
      <c r="I15" s="37"/>
      <c r="J15" s="429"/>
      <c r="K15" s="37"/>
      <c r="L15" s="33"/>
      <c r="M15" s="33"/>
      <c r="N15" s="33"/>
      <c r="O15" s="33"/>
    </row>
    <row r="16" spans="1:17" ht="14.25" customHeight="1">
      <c r="B16" s="14"/>
      <c r="C16" s="69" t="s">
        <v>477</v>
      </c>
      <c r="D16" s="1"/>
      <c r="E16" s="1"/>
      <c r="F16" s="1"/>
      <c r="G16" s="1"/>
      <c r="H16" s="1"/>
      <c r="I16" s="171"/>
      <c r="J16" s="1406"/>
      <c r="K16" s="1"/>
    </row>
    <row r="17" spans="2:13" ht="14.25" customHeight="1">
      <c r="B17" s="14"/>
      <c r="C17" s="1731" t="s">
        <v>630</v>
      </c>
      <c r="D17" s="1732"/>
      <c r="E17" s="1732"/>
      <c r="F17" s="1732"/>
      <c r="G17" s="1732"/>
      <c r="H17" s="1732"/>
      <c r="I17" s="1732"/>
      <c r="J17" s="1406"/>
      <c r="K17" s="1"/>
    </row>
    <row r="18" spans="2:13" ht="14.25" customHeight="1">
      <c r="B18" s="14"/>
      <c r="C18" s="1732"/>
      <c r="D18" s="1732"/>
      <c r="E18" s="1732"/>
      <c r="F18" s="1732"/>
      <c r="G18" s="1732"/>
      <c r="H18" s="1732"/>
      <c r="I18" s="1732"/>
      <c r="J18" s="1406"/>
      <c r="K18" s="1"/>
    </row>
    <row r="19" spans="2:13" ht="14.25" customHeight="1">
      <c r="B19" s="14"/>
      <c r="C19" s="1732"/>
      <c r="D19" s="1732"/>
      <c r="E19" s="1732"/>
      <c r="F19" s="1732"/>
      <c r="G19" s="1732"/>
      <c r="H19" s="1732"/>
      <c r="I19" s="1732"/>
      <c r="J19" s="1406"/>
      <c r="K19" s="1"/>
    </row>
    <row r="20" spans="2:13" ht="14.25" customHeight="1">
      <c r="B20" s="14"/>
      <c r="C20" s="1737" t="s">
        <v>30</v>
      </c>
      <c r="D20" s="1738"/>
      <c r="E20" s="1738"/>
      <c r="F20" s="1738"/>
      <c r="G20" s="1738"/>
      <c r="H20" s="1738"/>
      <c r="I20" s="1738"/>
      <c r="J20" s="1406"/>
      <c r="K20" s="1"/>
    </row>
    <row r="21" spans="2:13">
      <c r="B21" s="14"/>
      <c r="C21" s="1738"/>
      <c r="D21" s="1738"/>
      <c r="E21" s="1738"/>
      <c r="F21" s="1738"/>
      <c r="G21" s="1738"/>
      <c r="H21" s="1738"/>
      <c r="I21" s="1738"/>
      <c r="J21" s="1406"/>
      <c r="K21" s="1"/>
    </row>
    <row r="22" spans="2:13">
      <c r="B22" s="14"/>
      <c r="C22" s="1737" t="s">
        <v>28</v>
      </c>
      <c r="D22" s="1738"/>
      <c r="E22" s="1738"/>
      <c r="F22" s="1738"/>
      <c r="G22" s="1738"/>
      <c r="H22" s="1738"/>
      <c r="I22" s="1738"/>
      <c r="J22" s="1406"/>
      <c r="K22" s="1"/>
    </row>
    <row r="23" spans="2:13">
      <c r="B23" s="14"/>
      <c r="C23" s="1738"/>
      <c r="D23" s="1738"/>
      <c r="E23" s="1738"/>
      <c r="F23" s="1738"/>
      <c r="G23" s="1738"/>
      <c r="H23" s="1738"/>
      <c r="I23" s="1738"/>
      <c r="J23" s="1406"/>
      <c r="K23" s="1"/>
    </row>
    <row r="24" spans="2:13">
      <c r="B24" s="14"/>
      <c r="C24" s="1737" t="s">
        <v>29</v>
      </c>
      <c r="D24" s="1738"/>
      <c r="E24" s="1738"/>
      <c r="F24" s="1738"/>
      <c r="G24" s="1738"/>
      <c r="H24" s="1738"/>
      <c r="I24" s="1738"/>
      <c r="J24" s="1406"/>
      <c r="K24" s="1"/>
    </row>
    <row r="25" spans="2:13">
      <c r="B25" s="14"/>
      <c r="C25" s="1738"/>
      <c r="D25" s="1738"/>
      <c r="E25" s="1738"/>
      <c r="F25" s="1738"/>
      <c r="G25" s="1738"/>
      <c r="H25" s="1738"/>
      <c r="I25" s="1738"/>
      <c r="J25" s="1406"/>
      <c r="K25" s="1"/>
    </row>
    <row r="26" spans="2:13" ht="11.25" customHeight="1">
      <c r="B26" s="14"/>
      <c r="C26" s="26"/>
      <c r="D26" s="26"/>
      <c r="E26" s="26"/>
      <c r="F26" s="26"/>
      <c r="G26" s="26"/>
      <c r="H26" s="26"/>
      <c r="I26" s="26"/>
      <c r="J26" s="1406"/>
      <c r="K26" s="1"/>
    </row>
    <row r="27" spans="2:13" ht="21" customHeight="1">
      <c r="B27" s="1734" t="s">
        <v>479</v>
      </c>
      <c r="C27" s="1735"/>
      <c r="D27" s="1735"/>
      <c r="E27" s="1735"/>
      <c r="F27" s="1735"/>
      <c r="G27" s="1735"/>
      <c r="H27" s="1735"/>
      <c r="I27" s="1735"/>
      <c r="J27" s="1736"/>
      <c r="K27" s="1"/>
    </row>
    <row r="28" spans="2:13" ht="10.5" customHeight="1">
      <c r="B28" s="14"/>
      <c r="C28" s="1"/>
      <c r="D28" s="1"/>
      <c r="E28" s="1"/>
      <c r="F28" s="1"/>
      <c r="G28" s="1"/>
      <c r="H28" s="1"/>
      <c r="I28" s="1"/>
      <c r="J28" s="1406"/>
      <c r="K28" s="1"/>
      <c r="L28" s="1002"/>
      <c r="M28" s="1002"/>
    </row>
    <row r="29" spans="2:13" ht="30.75" customHeight="1">
      <c r="B29" s="14"/>
      <c r="C29" s="1649" t="s">
        <v>434</v>
      </c>
      <c r="D29" s="1739" t="s">
        <v>619</v>
      </c>
      <c r="E29" s="1739" t="s">
        <v>620</v>
      </c>
      <c r="F29" s="1741" t="s">
        <v>1226</v>
      </c>
      <c r="G29" s="24"/>
      <c r="H29" s="24"/>
      <c r="I29" s="24"/>
      <c r="J29" s="1406"/>
      <c r="K29" s="1"/>
      <c r="L29" s="1002"/>
      <c r="M29" s="1002"/>
    </row>
    <row r="30" spans="2:13" ht="44.25" customHeight="1">
      <c r="B30" s="14"/>
      <c r="C30" s="1649"/>
      <c r="D30" s="1740"/>
      <c r="E30" s="1740"/>
      <c r="F30" s="1741"/>
      <c r="G30" s="35"/>
      <c r="H30" s="35"/>
      <c r="I30" s="1"/>
      <c r="J30" s="1406"/>
      <c r="K30" s="1"/>
      <c r="L30" s="1002"/>
      <c r="M30" s="1002"/>
    </row>
    <row r="31" spans="2:13">
      <c r="B31" s="14"/>
      <c r="C31" s="1407" t="s">
        <v>443</v>
      </c>
      <c r="D31" s="1017">
        <v>519.03305989742933</v>
      </c>
      <c r="E31" s="1018">
        <v>441.30815248401848</v>
      </c>
      <c r="F31" s="1019">
        <f>D31-E31</f>
        <v>77.724907413410847</v>
      </c>
      <c r="G31" s="35"/>
      <c r="H31" s="35"/>
      <c r="I31" s="34"/>
      <c r="J31" s="1406"/>
      <c r="K31" s="1"/>
      <c r="L31" s="1002"/>
      <c r="M31" s="1002"/>
    </row>
    <row r="32" spans="2:13">
      <c r="B32" s="14"/>
      <c r="C32" s="1003" t="s">
        <v>97</v>
      </c>
      <c r="D32" s="1015">
        <v>520.5737332533206</v>
      </c>
      <c r="E32" s="1016">
        <v>462.11470959892978</v>
      </c>
      <c r="F32" s="1019">
        <f t="shared" ref="F32:F36" si="0">D32-E32</f>
        <v>58.459023654390819</v>
      </c>
      <c r="G32" s="1401"/>
      <c r="H32" s="1401"/>
      <c r="I32" s="1401"/>
      <c r="J32" s="1406"/>
      <c r="K32" s="1"/>
      <c r="L32" s="1002"/>
      <c r="M32" s="1002"/>
    </row>
    <row r="33" spans="1:13">
      <c r="B33" s="14"/>
      <c r="C33" s="1003" t="s">
        <v>106</v>
      </c>
      <c r="D33" s="1015">
        <v>530.56868736936872</v>
      </c>
      <c r="E33" s="1015">
        <v>482.54731590070554</v>
      </c>
      <c r="F33" s="1019">
        <f t="shared" si="0"/>
        <v>48.021371468663176</v>
      </c>
      <c r="G33" s="1401"/>
      <c r="H33" s="1401"/>
      <c r="I33" s="1401"/>
      <c r="J33" s="1406"/>
      <c r="K33" s="1"/>
      <c r="L33" s="1002"/>
      <c r="M33" s="1002"/>
    </row>
    <row r="34" spans="1:13">
      <c r="B34" s="14"/>
      <c r="C34" s="1003" t="s">
        <v>719</v>
      </c>
      <c r="D34" s="1015">
        <v>538.01052025406807</v>
      </c>
      <c r="E34" s="29">
        <v>500.77631806683706</v>
      </c>
      <c r="F34" s="1019">
        <f t="shared" si="0"/>
        <v>37.234202187231006</v>
      </c>
      <c r="G34" s="1"/>
      <c r="H34" s="1"/>
      <c r="I34" s="1"/>
      <c r="J34" s="1406"/>
      <c r="K34" s="1"/>
    </row>
    <row r="35" spans="1:13">
      <c r="B35" s="14"/>
      <c r="C35" s="1003" t="s">
        <v>631</v>
      </c>
      <c r="D35" s="1015">
        <v>550.06307727713295</v>
      </c>
      <c r="E35" s="29">
        <v>519.8059346476573</v>
      </c>
      <c r="F35" s="1019">
        <f t="shared" si="0"/>
        <v>30.257142629475652</v>
      </c>
      <c r="G35" s="1"/>
      <c r="H35" s="1"/>
      <c r="I35" s="1"/>
      <c r="J35" s="1406"/>
      <c r="K35" s="1"/>
    </row>
    <row r="36" spans="1:13">
      <c r="B36" s="14"/>
      <c r="C36" s="1003" t="s">
        <v>1019</v>
      </c>
      <c r="D36" s="1015">
        <v>599.92575556164024</v>
      </c>
      <c r="E36" s="29">
        <v>548.35740654428776</v>
      </c>
      <c r="F36" s="1019">
        <f t="shared" si="0"/>
        <v>51.568349017352489</v>
      </c>
      <c r="G36" s="1"/>
      <c r="H36" s="1"/>
      <c r="I36" s="1"/>
      <c r="J36" s="1406"/>
      <c r="K36" s="1"/>
    </row>
    <row r="37" spans="1:13" ht="19.5" customHeight="1">
      <c r="B37" s="1734" t="s">
        <v>761</v>
      </c>
      <c r="C37" s="1735"/>
      <c r="D37" s="1735"/>
      <c r="E37" s="1735"/>
      <c r="F37" s="1735"/>
      <c r="G37" s="1735"/>
      <c r="H37" s="1735"/>
      <c r="I37" s="1735"/>
      <c r="J37" s="1736"/>
      <c r="K37" s="1"/>
    </row>
    <row r="38" spans="1:13" ht="8.25" customHeight="1">
      <c r="B38" s="14"/>
      <c r="C38" s="1"/>
      <c r="D38" s="1"/>
      <c r="E38" s="1"/>
      <c r="F38" s="1"/>
      <c r="G38" s="1"/>
      <c r="H38" s="1"/>
      <c r="I38" s="1"/>
      <c r="J38" s="1406"/>
      <c r="K38" s="1"/>
    </row>
    <row r="39" spans="1:13">
      <c r="B39" s="14"/>
      <c r="C39" s="1"/>
      <c r="D39" s="1003" t="s">
        <v>98</v>
      </c>
      <c r="E39" s="1404">
        <v>489.4</v>
      </c>
      <c r="F39" s="1"/>
      <c r="G39" s="1"/>
      <c r="H39" s="1"/>
      <c r="I39" s="1"/>
      <c r="J39" s="1406"/>
      <c r="K39" s="1"/>
    </row>
    <row r="40" spans="1:13" ht="15" customHeight="1">
      <c r="A40" s="1"/>
      <c r="B40" s="14"/>
      <c r="C40" s="1"/>
      <c r="D40" s="1003" t="s">
        <v>97</v>
      </c>
      <c r="E40" s="1404">
        <v>530.4</v>
      </c>
      <c r="F40" s="1"/>
      <c r="G40" s="1"/>
      <c r="H40" s="1"/>
      <c r="I40" s="1"/>
      <c r="J40" s="1406"/>
      <c r="K40" s="1"/>
    </row>
    <row r="41" spans="1:13" ht="15.75" customHeight="1">
      <c r="A41" s="1"/>
      <c r="B41" s="14"/>
      <c r="C41" s="1"/>
      <c r="D41" s="1003" t="s">
        <v>106</v>
      </c>
      <c r="E41" s="1404">
        <v>545.9</v>
      </c>
      <c r="F41" s="1"/>
      <c r="G41" s="1"/>
      <c r="H41" s="1"/>
      <c r="I41" s="1"/>
      <c r="J41" s="213"/>
      <c r="K41" s="1"/>
    </row>
    <row r="42" spans="1:13" s="543" customFormat="1" ht="15.75" customHeight="1">
      <c r="A42" s="1"/>
      <c r="B42" s="14"/>
      <c r="C42" s="1"/>
      <c r="D42" s="1003" t="s">
        <v>719</v>
      </c>
      <c r="E42" s="1404">
        <v>574.29999999999995</v>
      </c>
      <c r="F42" s="1"/>
      <c r="G42" s="1"/>
      <c r="H42" s="1"/>
      <c r="I42" s="1"/>
      <c r="J42" s="213"/>
      <c r="K42" s="1"/>
    </row>
    <row r="43" spans="1:13" s="543" customFormat="1" ht="15.75" customHeight="1">
      <c r="A43" s="1"/>
      <c r="B43" s="14"/>
      <c r="C43" s="1"/>
      <c r="D43" s="1003" t="s">
        <v>631</v>
      </c>
      <c r="E43" s="567">
        <v>608</v>
      </c>
      <c r="F43" s="1"/>
      <c r="G43" s="1"/>
      <c r="H43" s="1"/>
      <c r="I43" s="1"/>
      <c r="J43" s="213"/>
      <c r="K43" s="1"/>
    </row>
    <row r="44" spans="1:13">
      <c r="A44" s="1"/>
      <c r="B44" s="14"/>
      <c r="C44" s="1"/>
      <c r="D44" s="1003" t="s">
        <v>1019</v>
      </c>
      <c r="E44" s="567">
        <v>628.9</v>
      </c>
      <c r="F44" s="1"/>
      <c r="G44" s="1"/>
      <c r="H44" s="1"/>
      <c r="I44" s="1"/>
      <c r="J44" s="1406"/>
      <c r="K44" s="1"/>
    </row>
    <row r="45" spans="1:13" ht="13.5" thickBot="1">
      <c r="A45" s="1"/>
      <c r="B45" s="17"/>
      <c r="C45" s="18"/>
      <c r="D45" s="645" t="s">
        <v>1213</v>
      </c>
      <c r="E45" s="1432">
        <v>622.20000000000005</v>
      </c>
      <c r="F45" s="18"/>
      <c r="G45" s="18"/>
      <c r="H45" s="18"/>
      <c r="I45" s="345"/>
      <c r="J45" s="1433">
        <v>11</v>
      </c>
    </row>
    <row r="47" spans="1:13">
      <c r="I47" s="9"/>
    </row>
    <row r="51" ht="21.75" customHeight="1"/>
    <row r="435" ht="23.25" customHeight="1"/>
  </sheetData>
  <mergeCells count="18">
    <mergeCell ref="B2:J2"/>
    <mergeCell ref="B10:J10"/>
    <mergeCell ref="D12:E12"/>
    <mergeCell ref="F13:I13"/>
    <mergeCell ref="D13:E13"/>
    <mergeCell ref="F12:I12"/>
    <mergeCell ref="C8:I8"/>
    <mergeCell ref="C17:I19"/>
    <mergeCell ref="C14:I14"/>
    <mergeCell ref="B37:J37"/>
    <mergeCell ref="C29:C30"/>
    <mergeCell ref="C20:I21"/>
    <mergeCell ref="C24:I25"/>
    <mergeCell ref="B27:J27"/>
    <mergeCell ref="C22:I23"/>
    <mergeCell ref="D29:D30"/>
    <mergeCell ref="E29:E30"/>
    <mergeCell ref="F29:F30"/>
  </mergeCells>
  <phoneticPr fontId="17" type="noConversion"/>
  <printOptions horizontalCentered="1" verticalCentered="1"/>
  <pageMargins left="0.75" right="0.75" top="1" bottom="1" header="0.5" footer="0.5"/>
  <pageSetup scale="7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2060"/>
  </sheetPr>
  <dimension ref="A2:J434"/>
  <sheetViews>
    <sheetView view="pageBreakPreview" zoomScale="64" zoomScaleNormal="100" zoomScaleSheetLayoutView="64" workbookViewId="0">
      <selection activeCell="J28" sqref="J28"/>
    </sheetView>
  </sheetViews>
  <sheetFormatPr defaultRowHeight="12.75"/>
  <cols>
    <col min="1" max="1" width="3.7109375" customWidth="1"/>
    <col min="2" max="2" width="6" customWidth="1"/>
    <col min="3" max="3" width="78.7109375" customWidth="1"/>
    <col min="4" max="4" width="7.28515625" customWidth="1"/>
    <col min="5" max="5" width="5.5703125" customWidth="1"/>
  </cols>
  <sheetData>
    <row r="2" spans="2:4" ht="20.25">
      <c r="B2" s="1755" t="s">
        <v>32</v>
      </c>
      <c r="C2" s="1755"/>
      <c r="D2" s="164"/>
    </row>
    <row r="3" spans="2:4" ht="20.25">
      <c r="B3" s="151"/>
      <c r="C3" s="151"/>
      <c r="D3" s="164"/>
    </row>
    <row r="4" spans="2:4">
      <c r="B4" s="153" t="s">
        <v>77</v>
      </c>
      <c r="C4" s="153" t="s">
        <v>22</v>
      </c>
      <c r="D4" s="153" t="s">
        <v>78</v>
      </c>
    </row>
    <row r="5" spans="2:4" ht="15.75" customHeight="1">
      <c r="B5" s="165">
        <v>1</v>
      </c>
      <c r="C5" s="215" t="s">
        <v>1211</v>
      </c>
      <c r="D5" s="165">
        <v>12</v>
      </c>
    </row>
    <row r="6" spans="2:4" ht="16.5" customHeight="1">
      <c r="B6" s="165">
        <v>2</v>
      </c>
      <c r="C6" s="215" t="str">
        <f>"Capacity Addition Targets &amp; Achievements during"  &amp; TEXT(TY," mmm-yyyy")  &amp;" and "  &amp;  TEXT(CTY," mmm-yyyy")</f>
        <v>Capacity Addition Targets &amp; Achievements during Jun-2021 and Apr-21 to Jun-21</v>
      </c>
      <c r="D6" s="165">
        <v>13</v>
      </c>
    </row>
    <row r="7" spans="2:4" ht="18" customHeight="1">
      <c r="B7" s="165">
        <v>3</v>
      </c>
      <c r="C7" s="215" t="s">
        <v>457</v>
      </c>
      <c r="D7" s="165" t="s">
        <v>96</v>
      </c>
    </row>
    <row r="13" spans="2:4" s="1" customFormat="1"/>
    <row r="14" spans="2:4" s="1" customFormat="1"/>
    <row r="15" spans="2:4" s="1" customFormat="1"/>
    <row r="16" spans="2:4" s="1" customFormat="1"/>
    <row r="17" spans="1:10" s="1" customFormat="1" ht="41.25" customHeight="1">
      <c r="A17" s="1530"/>
      <c r="B17" s="413"/>
      <c r="C17" s="413"/>
      <c r="D17" s="413"/>
      <c r="E17" s="413"/>
      <c r="F17" s="413"/>
      <c r="G17" s="413"/>
      <c r="H17" s="413"/>
      <c r="I17" s="413"/>
      <c r="J17" s="413"/>
    </row>
    <row r="23" spans="1:10">
      <c r="C23" s="2"/>
    </row>
    <row r="30" spans="1:10">
      <c r="C30" t="s">
        <v>623</v>
      </c>
    </row>
    <row r="50" ht="21.75" customHeight="1"/>
    <row r="434" ht="23.25" customHeight="1"/>
  </sheetData>
  <mergeCells count="1">
    <mergeCell ref="B2:C2"/>
  </mergeCells>
  <phoneticPr fontId="17" type="noConversion"/>
  <printOptions horizontalCentered="1" verticalCentered="1"/>
  <pageMargins left="0.75" right="0.75" top="1" bottom="1" header="0.5" footer="0.5"/>
  <pageSetup scale="7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2060"/>
  </sheetPr>
  <dimension ref="A1:M58"/>
  <sheetViews>
    <sheetView view="pageBreakPreview" topLeftCell="A19" zoomScaleNormal="100" zoomScaleSheetLayoutView="100" workbookViewId="0">
      <selection activeCell="O37" sqref="O37"/>
    </sheetView>
  </sheetViews>
  <sheetFormatPr defaultRowHeight="12.75"/>
  <cols>
    <col min="7" max="7" width="11.7109375" customWidth="1"/>
    <col min="8" max="8" width="12" customWidth="1"/>
    <col min="9" max="9" width="10.7109375" customWidth="1"/>
    <col min="10" max="10" width="11.5703125" customWidth="1"/>
  </cols>
  <sheetData>
    <row r="1" spans="1:13">
      <c r="A1" s="1"/>
      <c r="B1" s="225"/>
      <c r="C1" s="225"/>
      <c r="D1" s="225"/>
      <c r="E1" s="225"/>
      <c r="F1" s="225"/>
      <c r="G1" s="225"/>
      <c r="H1" s="225"/>
      <c r="I1" s="225"/>
      <c r="J1" s="225"/>
      <c r="K1" s="225"/>
      <c r="L1" s="225"/>
      <c r="M1" s="1482"/>
    </row>
    <row r="2" spans="1:13" ht="13.5" thickBot="1">
      <c r="A2" s="1"/>
      <c r="B2" s="1"/>
      <c r="C2" s="1"/>
      <c r="D2" s="1"/>
      <c r="E2" s="1"/>
      <c r="F2" s="1"/>
      <c r="G2" s="1"/>
      <c r="H2" s="1"/>
      <c r="I2" s="1"/>
      <c r="J2" s="1"/>
      <c r="K2" s="1"/>
      <c r="L2" s="1482"/>
      <c r="M2" s="1482"/>
    </row>
    <row r="3" spans="1:13" ht="15.75">
      <c r="A3" s="1"/>
      <c r="C3" s="1761" t="s">
        <v>1373</v>
      </c>
      <c r="D3" s="1762"/>
      <c r="E3" s="1762"/>
      <c r="F3" s="1762"/>
      <c r="G3" s="1762"/>
      <c r="H3" s="1762"/>
      <c r="I3" s="1762"/>
      <c r="J3" s="1762"/>
      <c r="K3" s="1763"/>
      <c r="L3" s="1482"/>
      <c r="M3" s="1482"/>
    </row>
    <row r="4" spans="1:13">
      <c r="A4" s="1"/>
      <c r="B4" s="1"/>
      <c r="C4" s="14"/>
      <c r="D4" s="1"/>
      <c r="E4" s="1"/>
      <c r="F4" s="1"/>
      <c r="G4" s="1"/>
      <c r="H4" s="1"/>
      <c r="I4" s="1"/>
      <c r="J4" s="1"/>
      <c r="K4" s="1406"/>
      <c r="L4" s="1482"/>
      <c r="M4" s="1482"/>
    </row>
    <row r="5" spans="1:13">
      <c r="A5" s="1"/>
      <c r="B5" s="1"/>
      <c r="C5" s="1436" t="s">
        <v>1203</v>
      </c>
      <c r="D5" s="877"/>
      <c r="E5" s="877"/>
      <c r="F5" s="877"/>
      <c r="G5" s="877"/>
      <c r="H5" s="1434"/>
      <c r="I5" s="1435"/>
      <c r="J5" s="1756" t="s">
        <v>1201</v>
      </c>
      <c r="K5" s="1757"/>
      <c r="L5" s="1482"/>
      <c r="M5" s="1482"/>
    </row>
    <row r="6" spans="1:13" s="839" customFormat="1">
      <c r="A6" s="1"/>
      <c r="B6" s="1"/>
      <c r="C6" s="1437"/>
      <c r="D6" s="963"/>
      <c r="E6" s="963"/>
      <c r="F6" s="963"/>
      <c r="G6" s="963"/>
      <c r="H6" s="963"/>
      <c r="I6" s="963"/>
      <c r="J6" s="963"/>
      <c r="K6" s="1438"/>
      <c r="L6" s="1482"/>
      <c r="M6" s="1482"/>
    </row>
    <row r="7" spans="1:13">
      <c r="A7" s="1"/>
      <c r="B7" s="1"/>
      <c r="C7" s="1437"/>
      <c r="D7" s="1758" t="s">
        <v>405</v>
      </c>
      <c r="E7" s="1759"/>
      <c r="F7" s="1758" t="s">
        <v>407</v>
      </c>
      <c r="G7" s="1759"/>
      <c r="H7" s="1758" t="s">
        <v>411</v>
      </c>
      <c r="I7" s="1759"/>
      <c r="J7" s="1758" t="s">
        <v>406</v>
      </c>
      <c r="K7" s="1760"/>
      <c r="L7" s="1482"/>
      <c r="M7" s="1482"/>
    </row>
    <row r="8" spans="1:13">
      <c r="A8" s="1"/>
      <c r="B8" s="1"/>
      <c r="C8" s="1437"/>
      <c r="D8" s="876" t="s">
        <v>442</v>
      </c>
      <c r="E8" s="876" t="s">
        <v>751</v>
      </c>
      <c r="F8" s="876" t="s">
        <v>442</v>
      </c>
      <c r="G8" s="876" t="s">
        <v>751</v>
      </c>
      <c r="H8" s="876" t="s">
        <v>442</v>
      </c>
      <c r="I8" s="876" t="s">
        <v>752</v>
      </c>
      <c r="J8" s="876" t="s">
        <v>442</v>
      </c>
      <c r="K8" s="1439" t="s">
        <v>752</v>
      </c>
      <c r="L8" s="1482"/>
      <c r="M8" s="1482"/>
    </row>
    <row r="9" spans="1:13">
      <c r="A9" s="1"/>
      <c r="B9" s="1"/>
      <c r="C9" s="1436" t="s">
        <v>415</v>
      </c>
      <c r="D9" s="878">
        <v>14878</v>
      </c>
      <c r="E9" s="878">
        <v>15869</v>
      </c>
      <c r="F9" s="878">
        <v>6004</v>
      </c>
      <c r="G9" s="878">
        <v>2584</v>
      </c>
      <c r="H9" s="878">
        <v>5300</v>
      </c>
      <c r="I9" s="878">
        <v>2000</v>
      </c>
      <c r="J9" s="878">
        <v>26182</v>
      </c>
      <c r="K9" s="1440">
        <v>20453</v>
      </c>
      <c r="L9" s="1482"/>
      <c r="M9" s="1482"/>
    </row>
    <row r="10" spans="1:13">
      <c r="A10" s="1"/>
      <c r="B10" s="1"/>
      <c r="C10" s="1436" t="s">
        <v>413</v>
      </c>
      <c r="D10" s="878">
        <v>13922</v>
      </c>
      <c r="E10" s="878">
        <v>22201</v>
      </c>
      <c r="F10" s="878">
        <v>1608</v>
      </c>
      <c r="G10" s="878">
        <v>2276</v>
      </c>
      <c r="H10" s="878" t="s">
        <v>755</v>
      </c>
      <c r="I10" s="878">
        <v>0</v>
      </c>
      <c r="J10" s="878">
        <v>15530</v>
      </c>
      <c r="K10" s="1440">
        <v>24477</v>
      </c>
      <c r="L10" s="1482"/>
      <c r="M10" s="1482"/>
    </row>
    <row r="11" spans="1:13">
      <c r="A11" s="1"/>
      <c r="B11" s="1"/>
      <c r="C11" s="1436" t="s">
        <v>414</v>
      </c>
      <c r="D11" s="878">
        <v>43540</v>
      </c>
      <c r="E11" s="878">
        <v>53661</v>
      </c>
      <c r="F11" s="878">
        <v>3285</v>
      </c>
      <c r="G11" s="878">
        <v>619</v>
      </c>
      <c r="H11" s="878" t="s">
        <v>755</v>
      </c>
      <c r="I11" s="878">
        <v>0</v>
      </c>
      <c r="J11" s="878">
        <v>46825</v>
      </c>
      <c r="K11" s="1440">
        <v>54280</v>
      </c>
      <c r="L11" s="1482"/>
      <c r="M11" s="1482"/>
    </row>
    <row r="12" spans="1:13">
      <c r="A12" s="1"/>
      <c r="B12" s="1"/>
      <c r="C12" s="1436" t="s">
        <v>406</v>
      </c>
      <c r="D12" s="878">
        <v>72340</v>
      </c>
      <c r="E12" s="878">
        <v>91730</v>
      </c>
      <c r="F12" s="878">
        <v>10897</v>
      </c>
      <c r="G12" s="878">
        <v>5479</v>
      </c>
      <c r="H12" s="878">
        <v>5300</v>
      </c>
      <c r="I12" s="878">
        <v>2000</v>
      </c>
      <c r="J12" s="878">
        <v>88537</v>
      </c>
      <c r="K12" s="1440">
        <v>99209</v>
      </c>
      <c r="L12" s="1482"/>
      <c r="M12" s="1482"/>
    </row>
    <row r="13" spans="1:13">
      <c r="A13" s="1"/>
      <c r="B13" s="1"/>
      <c r="C13" s="1441"/>
      <c r="D13" s="540"/>
      <c r="E13" s="540"/>
      <c r="F13" s="540"/>
      <c r="G13" s="540"/>
      <c r="H13" s="540"/>
      <c r="I13" s="540"/>
      <c r="J13" s="540"/>
      <c r="K13" s="906"/>
      <c r="L13" s="1482"/>
      <c r="M13" s="1482"/>
    </row>
    <row r="14" spans="1:13" ht="12.75" customHeight="1">
      <c r="A14" s="1"/>
      <c r="B14" s="1"/>
      <c r="C14" s="1436" t="s">
        <v>1202</v>
      </c>
      <c r="D14" s="877"/>
      <c r="E14" s="877"/>
      <c r="F14" s="877"/>
      <c r="G14" s="877"/>
      <c r="H14" s="1434"/>
      <c r="I14" s="1435"/>
      <c r="J14" s="1756" t="s">
        <v>1201</v>
      </c>
      <c r="K14" s="1757"/>
      <c r="L14" s="1482"/>
      <c r="M14" s="1482"/>
    </row>
    <row r="15" spans="1:13" s="839" customFormat="1">
      <c r="A15" s="1"/>
      <c r="B15" s="1"/>
      <c r="C15" s="1436"/>
      <c r="D15" s="877"/>
      <c r="E15" s="877"/>
      <c r="F15" s="877"/>
      <c r="G15" s="877"/>
      <c r="H15" s="877"/>
      <c r="I15" s="877"/>
      <c r="J15" s="877"/>
      <c r="K15" s="1442"/>
      <c r="L15" s="1482"/>
      <c r="M15" s="1482"/>
    </row>
    <row r="16" spans="1:13">
      <c r="A16" s="1"/>
      <c r="B16" s="1"/>
      <c r="C16" s="1436"/>
      <c r="D16" s="1758" t="s">
        <v>405</v>
      </c>
      <c r="E16" s="1759"/>
      <c r="F16" s="1758" t="s">
        <v>407</v>
      </c>
      <c r="G16" s="1759"/>
      <c r="H16" s="1758" t="s">
        <v>411</v>
      </c>
      <c r="I16" s="1759"/>
      <c r="J16" s="1758" t="s">
        <v>406</v>
      </c>
      <c r="K16" s="1760"/>
      <c r="L16" s="1482"/>
      <c r="M16" s="1482"/>
    </row>
    <row r="17" spans="1:13">
      <c r="A17" s="1"/>
      <c r="B17" s="1"/>
      <c r="C17" s="1436"/>
      <c r="D17" s="876" t="s">
        <v>442</v>
      </c>
      <c r="E17" s="876" t="s">
        <v>751</v>
      </c>
      <c r="F17" s="876" t="s">
        <v>442</v>
      </c>
      <c r="G17" s="876" t="s">
        <v>751</v>
      </c>
      <c r="H17" s="876" t="s">
        <v>442</v>
      </c>
      <c r="I17" s="876" t="s">
        <v>752</v>
      </c>
      <c r="J17" s="876" t="s">
        <v>442</v>
      </c>
      <c r="K17" s="1439" t="s">
        <v>752</v>
      </c>
      <c r="L17" s="1482"/>
      <c r="M17" s="1482"/>
    </row>
    <row r="18" spans="1:13">
      <c r="A18" s="1"/>
      <c r="B18" s="1"/>
      <c r="C18" s="1436" t="s">
        <v>415</v>
      </c>
      <c r="D18" s="878">
        <v>4880</v>
      </c>
      <c r="E18" s="878">
        <v>3170</v>
      </c>
      <c r="F18" s="878">
        <v>800</v>
      </c>
      <c r="G18" s="878">
        <v>390</v>
      </c>
      <c r="H18" s="878">
        <v>500</v>
      </c>
      <c r="I18" s="878">
        <v>0</v>
      </c>
      <c r="J18" s="878">
        <v>6180</v>
      </c>
      <c r="K18" s="1440">
        <v>3560</v>
      </c>
      <c r="L18" s="1482"/>
      <c r="M18" s="1482"/>
    </row>
    <row r="19" spans="1:13">
      <c r="A19" s="1"/>
      <c r="B19" s="1"/>
      <c r="C19" s="1436" t="s">
        <v>413</v>
      </c>
      <c r="D19" s="878">
        <v>3546</v>
      </c>
      <c r="E19" s="878">
        <v>1760</v>
      </c>
      <c r="F19" s="878">
        <v>300</v>
      </c>
      <c r="G19" s="878">
        <v>200</v>
      </c>
      <c r="H19" s="878">
        <v>0</v>
      </c>
      <c r="I19" s="878">
        <v>0</v>
      </c>
      <c r="J19" s="878">
        <v>3846</v>
      </c>
      <c r="K19" s="1440">
        <v>1960</v>
      </c>
      <c r="L19" s="1482"/>
      <c r="M19" s="1482"/>
    </row>
    <row r="20" spans="1:13">
      <c r="A20" s="1"/>
      <c r="B20" s="1"/>
      <c r="C20" s="1436" t="s">
        <v>414</v>
      </c>
      <c r="D20" s="878">
        <v>2940</v>
      </c>
      <c r="E20" s="878">
        <v>3780</v>
      </c>
      <c r="F20" s="878">
        <v>205</v>
      </c>
      <c r="G20" s="878">
        <v>205</v>
      </c>
      <c r="H20" s="878">
        <v>0</v>
      </c>
      <c r="I20" s="878">
        <v>0</v>
      </c>
      <c r="J20" s="878">
        <v>3145</v>
      </c>
      <c r="K20" s="1440">
        <v>3985</v>
      </c>
      <c r="L20" s="1482"/>
      <c r="M20" s="1482"/>
    </row>
    <row r="21" spans="1:13" ht="12.75" customHeight="1">
      <c r="A21" s="1"/>
      <c r="B21" s="1"/>
      <c r="C21" s="1436" t="s">
        <v>406</v>
      </c>
      <c r="D21" s="878">
        <v>11366</v>
      </c>
      <c r="E21" s="878">
        <v>8710</v>
      </c>
      <c r="F21" s="878">
        <v>1305</v>
      </c>
      <c r="G21" s="878">
        <v>795</v>
      </c>
      <c r="H21" s="878">
        <v>500</v>
      </c>
      <c r="I21" s="878">
        <v>0</v>
      </c>
      <c r="J21" s="878">
        <v>13171</v>
      </c>
      <c r="K21" s="1440">
        <v>9505</v>
      </c>
      <c r="L21" s="1482"/>
      <c r="M21" s="1482"/>
    </row>
    <row r="22" spans="1:13">
      <c r="A22" s="1"/>
      <c r="B22" s="1"/>
      <c r="C22" s="1441"/>
      <c r="D22" s="540"/>
      <c r="E22" s="540"/>
      <c r="F22" s="540"/>
      <c r="G22" s="540"/>
      <c r="H22" s="540"/>
      <c r="I22" s="540"/>
      <c r="J22" s="540"/>
      <c r="K22" s="906"/>
      <c r="L22" s="1482"/>
      <c r="M22" s="1482"/>
    </row>
    <row r="23" spans="1:13" ht="12.75" customHeight="1">
      <c r="A23" s="1"/>
      <c r="B23" s="1"/>
      <c r="C23" s="1436" t="s">
        <v>1204</v>
      </c>
      <c r="D23" s="877"/>
      <c r="E23" s="877"/>
      <c r="F23" s="877"/>
      <c r="G23" s="877"/>
      <c r="H23" s="1434"/>
      <c r="I23" s="1435"/>
      <c r="J23" s="1756" t="s">
        <v>1201</v>
      </c>
      <c r="K23" s="1757"/>
      <c r="L23" s="1482"/>
      <c r="M23" s="1482"/>
    </row>
    <row r="24" spans="1:13" s="839" customFormat="1">
      <c r="A24" s="1"/>
      <c r="B24" s="1"/>
      <c r="C24" s="1436"/>
      <c r="D24" s="963"/>
      <c r="E24" s="963"/>
      <c r="F24" s="963"/>
      <c r="G24" s="963"/>
      <c r="H24" s="963"/>
      <c r="I24" s="963"/>
      <c r="J24" s="963"/>
      <c r="K24" s="1438"/>
      <c r="L24" s="1482"/>
      <c r="M24" s="1482"/>
    </row>
    <row r="25" spans="1:13">
      <c r="A25" s="1"/>
      <c r="B25" s="1"/>
      <c r="C25" s="1436"/>
      <c r="D25" s="1758" t="s">
        <v>405</v>
      </c>
      <c r="E25" s="1759"/>
      <c r="F25" s="1758" t="s">
        <v>407</v>
      </c>
      <c r="G25" s="1759"/>
      <c r="H25" s="1758" t="s">
        <v>411</v>
      </c>
      <c r="I25" s="1759"/>
      <c r="J25" s="1758" t="s">
        <v>406</v>
      </c>
      <c r="K25" s="1760"/>
      <c r="L25" s="1482"/>
      <c r="M25" s="1482"/>
    </row>
    <row r="26" spans="1:13">
      <c r="A26" s="1"/>
      <c r="B26" s="1"/>
      <c r="C26" s="1436"/>
      <c r="D26" s="876" t="s">
        <v>442</v>
      </c>
      <c r="E26" s="876" t="s">
        <v>751</v>
      </c>
      <c r="F26" s="876" t="s">
        <v>442</v>
      </c>
      <c r="G26" s="876" t="s">
        <v>751</v>
      </c>
      <c r="H26" s="876" t="s">
        <v>442</v>
      </c>
      <c r="I26" s="876" t="s">
        <v>752</v>
      </c>
      <c r="J26" s="876" t="s">
        <v>442</v>
      </c>
      <c r="K26" s="1439" t="s">
        <v>752</v>
      </c>
      <c r="L26" s="1482"/>
      <c r="M26" s="1482"/>
    </row>
    <row r="27" spans="1:13">
      <c r="A27" s="1"/>
      <c r="B27" s="1"/>
      <c r="C27" s="1436" t="s">
        <v>415</v>
      </c>
      <c r="D27" s="878">
        <v>2760</v>
      </c>
      <c r="E27" s="878">
        <v>1960</v>
      </c>
      <c r="F27" s="878">
        <v>710</v>
      </c>
      <c r="G27" s="878">
        <v>110</v>
      </c>
      <c r="H27" s="878">
        <v>0</v>
      </c>
      <c r="I27" s="878">
        <v>0</v>
      </c>
      <c r="J27" s="878">
        <v>3470</v>
      </c>
      <c r="K27" s="1440">
        <v>2070</v>
      </c>
      <c r="L27" s="1482"/>
      <c r="M27" s="1482"/>
    </row>
    <row r="28" spans="1:13">
      <c r="A28" s="1"/>
      <c r="B28" s="1"/>
      <c r="C28" s="1436" t="s">
        <v>413</v>
      </c>
      <c r="D28" s="878">
        <v>4506</v>
      </c>
      <c r="E28" s="878">
        <v>2850</v>
      </c>
      <c r="F28" s="878">
        <v>130</v>
      </c>
      <c r="G28" s="878">
        <v>30</v>
      </c>
      <c r="H28" s="878">
        <v>0</v>
      </c>
      <c r="I28" s="878">
        <v>0</v>
      </c>
      <c r="J28" s="878">
        <v>4636</v>
      </c>
      <c r="K28" s="1440">
        <v>2880</v>
      </c>
      <c r="L28" s="1482"/>
      <c r="M28" s="1482"/>
    </row>
    <row r="29" spans="1:13">
      <c r="A29" s="1"/>
      <c r="B29" s="1"/>
      <c r="C29" s="1436" t="s">
        <v>414</v>
      </c>
      <c r="D29" s="878">
        <v>0</v>
      </c>
      <c r="E29" s="878">
        <v>972</v>
      </c>
      <c r="F29" s="878">
        <v>0</v>
      </c>
      <c r="G29" s="878">
        <v>0</v>
      </c>
      <c r="H29" s="878">
        <v>0</v>
      </c>
      <c r="I29" s="878">
        <v>0</v>
      </c>
      <c r="J29" s="878">
        <v>0</v>
      </c>
      <c r="K29" s="1440">
        <v>972</v>
      </c>
      <c r="L29" s="1482"/>
      <c r="M29" s="1482"/>
    </row>
    <row r="30" spans="1:13">
      <c r="A30" s="1"/>
      <c r="B30" s="1"/>
      <c r="C30" s="1436" t="s">
        <v>406</v>
      </c>
      <c r="D30" s="878">
        <v>7266</v>
      </c>
      <c r="E30" s="878">
        <v>5782</v>
      </c>
      <c r="F30" s="878">
        <v>840</v>
      </c>
      <c r="G30" s="878">
        <v>140</v>
      </c>
      <c r="H30" s="878">
        <v>0</v>
      </c>
      <c r="I30" s="878">
        <v>0</v>
      </c>
      <c r="J30" s="878">
        <v>8106</v>
      </c>
      <c r="K30" s="1440">
        <v>5922</v>
      </c>
      <c r="L30" s="1482"/>
      <c r="M30" s="1482"/>
    </row>
    <row r="31" spans="1:13">
      <c r="A31" s="1"/>
      <c r="B31" s="1"/>
      <c r="C31" s="1443"/>
      <c r="D31" s="1109"/>
      <c r="E31" s="1109"/>
      <c r="F31" s="1109"/>
      <c r="G31" s="1109"/>
      <c r="H31" s="1109"/>
      <c r="I31" s="1109"/>
      <c r="J31" s="1109"/>
      <c r="K31" s="1444"/>
      <c r="L31" s="1482"/>
      <c r="M31" s="1482"/>
    </row>
    <row r="32" spans="1:13" ht="12.75" customHeight="1">
      <c r="A32" s="1"/>
      <c r="B32" s="1"/>
      <c r="C32" s="1436" t="s">
        <v>1205</v>
      </c>
      <c r="D32" s="877"/>
      <c r="E32" s="877"/>
      <c r="F32" s="877"/>
      <c r="G32" s="877"/>
      <c r="H32" s="1434"/>
      <c r="I32" s="1435"/>
      <c r="J32" s="1756" t="s">
        <v>1201</v>
      </c>
      <c r="K32" s="1757"/>
      <c r="L32" s="1482"/>
      <c r="M32" s="1482"/>
    </row>
    <row r="33" spans="1:13">
      <c r="A33" s="1"/>
      <c r="B33" s="1"/>
      <c r="C33" s="1437"/>
      <c r="D33" s="963"/>
      <c r="E33" s="963"/>
      <c r="F33" s="963"/>
      <c r="G33" s="963"/>
      <c r="H33" s="963"/>
      <c r="I33" s="963"/>
      <c r="J33" s="963"/>
      <c r="K33" s="1438"/>
      <c r="L33" s="1482"/>
      <c r="M33" s="1482"/>
    </row>
    <row r="34" spans="1:13">
      <c r="A34" s="1"/>
      <c r="B34" s="1"/>
      <c r="C34" s="1437"/>
      <c r="D34" s="1758" t="s">
        <v>405</v>
      </c>
      <c r="E34" s="1759"/>
      <c r="F34" s="1758" t="s">
        <v>407</v>
      </c>
      <c r="G34" s="1759"/>
      <c r="H34" s="1758" t="s">
        <v>411</v>
      </c>
      <c r="I34" s="1759"/>
      <c r="J34" s="1758" t="s">
        <v>406</v>
      </c>
      <c r="K34" s="1760"/>
      <c r="L34" s="1482"/>
      <c r="M34" s="1482"/>
    </row>
    <row r="35" spans="1:13">
      <c r="A35" s="1"/>
      <c r="B35" s="1"/>
      <c r="C35" s="1437"/>
      <c r="D35" s="876" t="s">
        <v>442</v>
      </c>
      <c r="E35" s="876" t="s">
        <v>751</v>
      </c>
      <c r="F35" s="876" t="s">
        <v>442</v>
      </c>
      <c r="G35" s="876" t="s">
        <v>751</v>
      </c>
      <c r="H35" s="876" t="s">
        <v>442</v>
      </c>
      <c r="I35" s="876" t="s">
        <v>752</v>
      </c>
      <c r="J35" s="876" t="s">
        <v>442</v>
      </c>
      <c r="K35" s="1439" t="s">
        <v>752</v>
      </c>
      <c r="L35" s="1482"/>
      <c r="M35" s="1482"/>
    </row>
    <row r="36" spans="1:13">
      <c r="A36" s="1"/>
      <c r="B36" s="1"/>
      <c r="C36" s="1436" t="s">
        <v>415</v>
      </c>
      <c r="D36" s="878">
        <v>6040</v>
      </c>
      <c r="E36" s="878">
        <v>3940</v>
      </c>
      <c r="F36" s="878">
        <v>600</v>
      </c>
      <c r="G36" s="878">
        <v>300</v>
      </c>
      <c r="H36" s="878">
        <v>700</v>
      </c>
      <c r="I36" s="878">
        <v>0</v>
      </c>
      <c r="J36" s="878">
        <f>D36+F36+H36</f>
        <v>7340</v>
      </c>
      <c r="K36" s="1440">
        <f>E36+G36</f>
        <v>4240</v>
      </c>
      <c r="L36" s="1482"/>
      <c r="M36" s="1482"/>
    </row>
    <row r="37" spans="1:13">
      <c r="A37" s="1"/>
      <c r="B37" s="1"/>
      <c r="C37" s="1436" t="s">
        <v>413</v>
      </c>
      <c r="D37" s="878">
        <v>4256.1499999999996</v>
      </c>
      <c r="E37" s="878">
        <v>2780</v>
      </c>
      <c r="F37" s="878">
        <v>210.99</v>
      </c>
      <c r="G37" s="878">
        <v>0</v>
      </c>
      <c r="H37" s="878">
        <v>0</v>
      </c>
      <c r="I37" s="878">
        <v>0</v>
      </c>
      <c r="J37" s="878">
        <f t="shared" ref="J37:J39" si="0">D37+F37+H37</f>
        <v>4467.1399999999994</v>
      </c>
      <c r="K37" s="1440">
        <f t="shared" ref="K37:K39" si="1">E37+G37</f>
        <v>2780</v>
      </c>
      <c r="L37" s="1482"/>
      <c r="M37" s="1482"/>
    </row>
    <row r="38" spans="1:13">
      <c r="A38" s="1"/>
      <c r="B38" s="1"/>
      <c r="C38" s="1436" t="s">
        <v>414</v>
      </c>
      <c r="D38" s="878">
        <v>0</v>
      </c>
      <c r="E38" s="878">
        <v>45</v>
      </c>
      <c r="F38" s="878">
        <v>379</v>
      </c>
      <c r="G38" s="878">
        <v>0</v>
      </c>
      <c r="H38" s="878">
        <v>0</v>
      </c>
      <c r="I38" s="878">
        <v>0</v>
      </c>
      <c r="J38" s="878">
        <f t="shared" si="0"/>
        <v>379</v>
      </c>
      <c r="K38" s="1440">
        <f t="shared" si="1"/>
        <v>45</v>
      </c>
      <c r="L38" s="1482"/>
      <c r="M38" s="1482"/>
    </row>
    <row r="39" spans="1:13">
      <c r="A39" s="1"/>
      <c r="B39" s="1"/>
      <c r="C39" s="1436" t="s">
        <v>406</v>
      </c>
      <c r="D39" s="878">
        <f t="shared" ref="D39:I39" si="2">SUM(D36:D38)</f>
        <v>10296.15</v>
      </c>
      <c r="E39" s="878">
        <f t="shared" si="2"/>
        <v>6765</v>
      </c>
      <c r="F39" s="878">
        <f t="shared" si="2"/>
        <v>1189.99</v>
      </c>
      <c r="G39" s="878">
        <f t="shared" si="2"/>
        <v>300</v>
      </c>
      <c r="H39" s="878">
        <f t="shared" si="2"/>
        <v>700</v>
      </c>
      <c r="I39" s="878">
        <f t="shared" si="2"/>
        <v>0</v>
      </c>
      <c r="J39" s="878">
        <f t="shared" si="0"/>
        <v>12186.14</v>
      </c>
      <c r="K39" s="1440">
        <f t="shared" si="1"/>
        <v>7065</v>
      </c>
      <c r="L39" s="1482"/>
      <c r="M39" s="1482"/>
    </row>
    <row r="40" spans="1:13">
      <c r="A40" s="1"/>
      <c r="B40" s="1"/>
      <c r="C40" s="1445"/>
      <c r="D40" s="1109"/>
      <c r="E40" s="1109"/>
      <c r="F40" s="1109"/>
      <c r="G40" s="1109"/>
      <c r="H40" s="1109"/>
      <c r="I40" s="1109"/>
      <c r="J40" s="1109"/>
      <c r="K40" s="1444"/>
      <c r="L40" s="1"/>
    </row>
    <row r="41" spans="1:13" ht="12.75" customHeight="1">
      <c r="C41" s="1436" t="s">
        <v>1374</v>
      </c>
      <c r="D41" s="877"/>
      <c r="E41" s="877"/>
      <c r="F41" s="877"/>
      <c r="G41" s="877"/>
      <c r="H41" s="1434"/>
      <c r="I41" s="1435"/>
      <c r="J41" s="1756" t="s">
        <v>1201</v>
      </c>
      <c r="K41" s="1757"/>
    </row>
    <row r="42" spans="1:13">
      <c r="C42" s="1437"/>
      <c r="D42" s="963"/>
      <c r="E42" s="963"/>
      <c r="F42" s="963"/>
      <c r="G42" s="963"/>
      <c r="H42" s="963"/>
      <c r="I42" s="963"/>
      <c r="J42" s="963"/>
      <c r="K42" s="1438"/>
    </row>
    <row r="43" spans="1:13">
      <c r="C43" s="1437"/>
      <c r="D43" s="1758" t="s">
        <v>405</v>
      </c>
      <c r="E43" s="1759"/>
      <c r="F43" s="1758" t="s">
        <v>407</v>
      </c>
      <c r="G43" s="1759"/>
      <c r="H43" s="1758" t="s">
        <v>411</v>
      </c>
      <c r="I43" s="1759"/>
      <c r="J43" s="1758" t="s">
        <v>406</v>
      </c>
      <c r="K43" s="1760"/>
    </row>
    <row r="44" spans="1:13">
      <c r="C44" s="1437"/>
      <c r="D44" s="876" t="s">
        <v>442</v>
      </c>
      <c r="E44" s="876" t="s">
        <v>751</v>
      </c>
      <c r="F44" s="876" t="s">
        <v>442</v>
      </c>
      <c r="G44" s="876" t="s">
        <v>751</v>
      </c>
      <c r="H44" s="876" t="s">
        <v>442</v>
      </c>
      <c r="I44" s="876" t="s">
        <v>752</v>
      </c>
      <c r="J44" s="876" t="s">
        <v>442</v>
      </c>
      <c r="K44" s="1439" t="s">
        <v>752</v>
      </c>
    </row>
    <row r="45" spans="1:13">
      <c r="C45" s="1436" t="s">
        <v>415</v>
      </c>
      <c r="D45" s="878">
        <v>5790</v>
      </c>
      <c r="E45" s="878">
        <v>4080</v>
      </c>
      <c r="F45" s="878">
        <v>300</v>
      </c>
      <c r="G45" s="878">
        <v>300</v>
      </c>
      <c r="H45" s="878">
        <v>0</v>
      </c>
      <c r="I45" s="878">
        <v>0</v>
      </c>
      <c r="J45" s="878">
        <f>D45+F45+H45</f>
        <v>6090</v>
      </c>
      <c r="K45" s="1440">
        <f>E45+G45</f>
        <v>4380</v>
      </c>
    </row>
    <row r="46" spans="1:13">
      <c r="C46" s="1436" t="s">
        <v>413</v>
      </c>
      <c r="D46" s="878">
        <v>4276.1499999999996</v>
      </c>
      <c r="E46" s="878">
        <v>846.15</v>
      </c>
      <c r="F46" s="878">
        <v>111</v>
      </c>
      <c r="G46" s="878">
        <v>111</v>
      </c>
      <c r="H46" s="878">
        <v>0</v>
      </c>
      <c r="I46" s="878">
        <v>0</v>
      </c>
      <c r="J46" s="878">
        <f t="shared" ref="J46:J48" si="3">D46+F46+H46</f>
        <v>4387.1499999999996</v>
      </c>
      <c r="K46" s="1440">
        <f t="shared" ref="K46:K48" si="4">E46+G46</f>
        <v>957.15</v>
      </c>
    </row>
    <row r="47" spans="1:13">
      <c r="C47" s="1436" t="s">
        <v>414</v>
      </c>
      <c r="D47" s="878">
        <v>525</v>
      </c>
      <c r="E47" s="878">
        <v>0</v>
      </c>
      <c r="F47" s="878">
        <v>195</v>
      </c>
      <c r="G47" s="878">
        <v>99</v>
      </c>
      <c r="H47" s="878">
        <v>0</v>
      </c>
      <c r="I47" s="878">
        <v>0</v>
      </c>
      <c r="J47" s="878">
        <f t="shared" si="3"/>
        <v>720</v>
      </c>
      <c r="K47" s="1440">
        <f t="shared" si="4"/>
        <v>99</v>
      </c>
    </row>
    <row r="48" spans="1:13">
      <c r="C48" s="1436" t="s">
        <v>406</v>
      </c>
      <c r="D48" s="878">
        <f t="shared" ref="D48:I48" si="5">SUM(D45:D47)</f>
        <v>10591.15</v>
      </c>
      <c r="E48" s="878">
        <f t="shared" si="5"/>
        <v>4926.1499999999996</v>
      </c>
      <c r="F48" s="878">
        <f t="shared" si="5"/>
        <v>606</v>
      </c>
      <c r="G48" s="878">
        <f t="shared" si="5"/>
        <v>510</v>
      </c>
      <c r="H48" s="878">
        <f t="shared" si="5"/>
        <v>0</v>
      </c>
      <c r="I48" s="878">
        <f t="shared" si="5"/>
        <v>0</v>
      </c>
      <c r="J48" s="878">
        <f t="shared" si="3"/>
        <v>11197.15</v>
      </c>
      <c r="K48" s="1440">
        <f t="shared" si="4"/>
        <v>5436.15</v>
      </c>
    </row>
    <row r="49" spans="3:12">
      <c r="C49" s="1445"/>
      <c r="D49" s="1109"/>
      <c r="E49" s="1109"/>
      <c r="F49" s="1109"/>
      <c r="G49" s="1109"/>
      <c r="H49" s="1109"/>
      <c r="I49" s="1109"/>
      <c r="J49" s="1109"/>
      <c r="K49" s="1444"/>
    </row>
    <row r="50" spans="3:12" ht="12.75" customHeight="1">
      <c r="C50" s="1436" t="s">
        <v>1757</v>
      </c>
      <c r="D50" s="877"/>
      <c r="E50" s="877"/>
      <c r="F50" s="877"/>
      <c r="G50" s="877"/>
      <c r="H50" s="1434"/>
      <c r="I50" s="1435"/>
      <c r="J50" s="1756" t="s">
        <v>1201</v>
      </c>
      <c r="K50" s="1757"/>
    </row>
    <row r="51" spans="3:12">
      <c r="C51" s="1437"/>
      <c r="D51" s="963"/>
      <c r="E51" s="963"/>
      <c r="F51" s="963"/>
      <c r="G51" s="963"/>
      <c r="H51" s="963"/>
      <c r="I51" s="963"/>
      <c r="J51" s="963"/>
      <c r="K51" s="1438"/>
    </row>
    <row r="52" spans="3:12">
      <c r="C52" s="1437"/>
      <c r="D52" s="1758" t="s">
        <v>405</v>
      </c>
      <c r="E52" s="1759"/>
      <c r="F52" s="1758" t="s">
        <v>407</v>
      </c>
      <c r="G52" s="1759"/>
      <c r="H52" s="1758" t="s">
        <v>411</v>
      </c>
      <c r="I52" s="1759"/>
      <c r="J52" s="1758" t="s">
        <v>406</v>
      </c>
      <c r="K52" s="1760"/>
    </row>
    <row r="53" spans="3:12">
      <c r="C53" s="1437"/>
      <c r="D53" s="876" t="s">
        <v>442</v>
      </c>
      <c r="E53" s="876" t="s">
        <v>751</v>
      </c>
      <c r="F53" s="876" t="s">
        <v>442</v>
      </c>
      <c r="G53" s="876" t="s">
        <v>751</v>
      </c>
      <c r="H53" s="876" t="s">
        <v>442</v>
      </c>
      <c r="I53" s="876" t="s">
        <v>752</v>
      </c>
      <c r="J53" s="876" t="s">
        <v>442</v>
      </c>
      <c r="K53" s="1439" t="s">
        <v>752</v>
      </c>
    </row>
    <row r="54" spans="3:12">
      <c r="C54" s="1436" t="s">
        <v>415</v>
      </c>
      <c r="D54" s="878">
        <f>Data!$BC$296</f>
        <v>5400</v>
      </c>
      <c r="E54" s="878">
        <f>Data!$BK$296</f>
        <v>0</v>
      </c>
      <c r="F54" s="878">
        <f>Data!$BF$296</f>
        <v>0</v>
      </c>
      <c r="G54" s="878">
        <f>Data!$BN$296</f>
        <v>0</v>
      </c>
      <c r="H54" s="878">
        <f>Data!BI296</f>
        <v>700</v>
      </c>
      <c r="I54" s="878">
        <f>Data!BQ296</f>
        <v>0</v>
      </c>
      <c r="J54" s="878">
        <f t="shared" ref="J54:J56" si="6">D54+F54+H54</f>
        <v>6100</v>
      </c>
      <c r="K54" s="1440">
        <f>E54+G54+I54</f>
        <v>0</v>
      </c>
    </row>
    <row r="55" spans="3:12">
      <c r="C55" s="1436" t="s">
        <v>413</v>
      </c>
      <c r="D55" s="878">
        <f>Data!$BD$296</f>
        <v>4360</v>
      </c>
      <c r="E55" s="878">
        <f>Data!$BL$296</f>
        <v>0</v>
      </c>
      <c r="F55" s="878">
        <f>Data!$BG$296</f>
        <v>100</v>
      </c>
      <c r="G55" s="878">
        <f>Data!$BO$296</f>
        <v>0</v>
      </c>
      <c r="H55" s="878">
        <v>0</v>
      </c>
      <c r="I55" s="878">
        <v>0</v>
      </c>
      <c r="J55" s="878">
        <f t="shared" si="6"/>
        <v>4460</v>
      </c>
      <c r="K55" s="1440">
        <f t="shared" ref="K55:K56" si="7">E55+G55</f>
        <v>0</v>
      </c>
    </row>
    <row r="56" spans="3:12">
      <c r="C56" s="1436" t="s">
        <v>414</v>
      </c>
      <c r="D56" s="878">
        <f>Data!$BE$296</f>
        <v>525</v>
      </c>
      <c r="E56" s="878">
        <f>Data!$BM$296</f>
        <v>0</v>
      </c>
      <c r="F56" s="878">
        <f>Data!$BH$296</f>
        <v>112.97799999999999</v>
      </c>
      <c r="G56" s="878">
        <f>Data!$BP$296</f>
        <v>112.97799999999999</v>
      </c>
      <c r="H56" s="878">
        <v>0</v>
      </c>
      <c r="I56" s="878">
        <v>0</v>
      </c>
      <c r="J56" s="878">
        <f t="shared" si="6"/>
        <v>637.97799999999995</v>
      </c>
      <c r="K56" s="1440">
        <f t="shared" si="7"/>
        <v>112.97799999999999</v>
      </c>
    </row>
    <row r="57" spans="3:12" ht="13.5" thickBot="1">
      <c r="C57" s="1446" t="s">
        <v>406</v>
      </c>
      <c r="D57" s="1447">
        <f t="shared" ref="D57:I57" si="8">SUM(D54:D56)</f>
        <v>10285</v>
      </c>
      <c r="E57" s="1447">
        <f t="shared" si="8"/>
        <v>0</v>
      </c>
      <c r="F57" s="1447">
        <f t="shared" si="8"/>
        <v>212.97800000000001</v>
      </c>
      <c r="G57" s="1447">
        <f t="shared" si="8"/>
        <v>112.97799999999999</v>
      </c>
      <c r="H57" s="1447">
        <f t="shared" si="8"/>
        <v>700</v>
      </c>
      <c r="I57" s="1447">
        <f t="shared" si="8"/>
        <v>0</v>
      </c>
      <c r="J57" s="1447">
        <f t="shared" ref="J57" si="9">D57+F57+H57</f>
        <v>11197.977999999999</v>
      </c>
      <c r="K57" s="1448">
        <f t="shared" ref="K57" si="10">E57+G57</f>
        <v>112.97799999999999</v>
      </c>
    </row>
    <row r="58" spans="3:12">
      <c r="L58" s="7">
        <v>12</v>
      </c>
    </row>
  </sheetData>
  <mergeCells count="31">
    <mergeCell ref="C3:K3"/>
    <mergeCell ref="J5:K5"/>
    <mergeCell ref="J50:K50"/>
    <mergeCell ref="D52:E52"/>
    <mergeCell ref="F52:G52"/>
    <mergeCell ref="H52:I52"/>
    <mergeCell ref="J52:K52"/>
    <mergeCell ref="D43:E43"/>
    <mergeCell ref="F43:G43"/>
    <mergeCell ref="H43:I43"/>
    <mergeCell ref="J43:K43"/>
    <mergeCell ref="D34:E34"/>
    <mergeCell ref="F34:G34"/>
    <mergeCell ref="H34:I34"/>
    <mergeCell ref="J34:K34"/>
    <mergeCell ref="J41:K41"/>
    <mergeCell ref="J23:K23"/>
    <mergeCell ref="J32:K32"/>
    <mergeCell ref="D7:E7"/>
    <mergeCell ref="F7:G7"/>
    <mergeCell ref="H7:I7"/>
    <mergeCell ref="J7:K7"/>
    <mergeCell ref="D16:E16"/>
    <mergeCell ref="F16:G16"/>
    <mergeCell ref="H16:I16"/>
    <mergeCell ref="J16:K16"/>
    <mergeCell ref="D25:E25"/>
    <mergeCell ref="F25:G25"/>
    <mergeCell ref="H25:I25"/>
    <mergeCell ref="J25:K25"/>
    <mergeCell ref="J14:K14"/>
  </mergeCells>
  <printOptions horizontalCentered="1" verticalCentered="1"/>
  <pageMargins left="0.75" right="0.75" top="1" bottom="1" header="0.5" footer="0.5"/>
  <pageSetup scale="7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2060"/>
  </sheetPr>
  <dimension ref="A1:M435"/>
  <sheetViews>
    <sheetView view="pageBreakPreview" topLeftCell="A31" zoomScale="64" zoomScaleNormal="100" zoomScaleSheetLayoutView="64" workbookViewId="0">
      <selection activeCell="J28" sqref="J28"/>
    </sheetView>
  </sheetViews>
  <sheetFormatPr defaultColWidth="9.140625" defaultRowHeight="12.75"/>
  <cols>
    <col min="1" max="1" width="3.140625" style="1" customWidth="1"/>
    <col min="2" max="2" width="2.140625" style="1" customWidth="1"/>
    <col min="3" max="3" width="9.140625" style="1"/>
    <col min="4" max="4" width="13.5703125" style="1" customWidth="1"/>
    <col min="5" max="5" width="15.5703125" style="1" customWidth="1"/>
    <col min="6" max="6" width="8" style="1" customWidth="1"/>
    <col min="7" max="7" width="11" style="1" customWidth="1"/>
    <col min="8" max="8" width="9.28515625" style="1" customWidth="1"/>
    <col min="9" max="9" width="11.28515625" style="1" customWidth="1"/>
    <col min="10" max="10" width="15.7109375" style="1" customWidth="1"/>
    <col min="11" max="11" width="5.7109375" style="1" customWidth="1"/>
    <col min="12" max="12" width="4.7109375" style="1" customWidth="1"/>
    <col min="13" max="16384" width="9.140625" style="1"/>
  </cols>
  <sheetData>
    <row r="1" spans="2:12" ht="8.25" customHeight="1" thickBot="1"/>
    <row r="2" spans="2:12" ht="27" customHeight="1">
      <c r="B2" s="1764" t="str">
        <f>"2. Capacity Addition Targets / Achievements During" &amp;TEXT( TY," mmm-yyyy")</f>
        <v>2. Capacity Addition Targets / Achievements During Jun-2021</v>
      </c>
      <c r="C2" s="1765"/>
      <c r="D2" s="1765"/>
      <c r="E2" s="1765"/>
      <c r="F2" s="1765"/>
      <c r="G2" s="1765"/>
      <c r="H2" s="1765"/>
      <c r="I2" s="1765"/>
      <c r="J2" s="1765"/>
      <c r="K2" s="1766"/>
      <c r="L2" s="26"/>
    </row>
    <row r="3" spans="2:12">
      <c r="B3" s="14"/>
      <c r="C3" s="60"/>
      <c r="D3" s="60"/>
      <c r="E3" s="60"/>
      <c r="F3" s="60"/>
      <c r="G3" s="60"/>
      <c r="H3" s="60"/>
      <c r="I3" s="60"/>
      <c r="J3" s="71" t="s">
        <v>428</v>
      </c>
      <c r="K3" s="434"/>
    </row>
    <row r="4" spans="2:12" ht="28.5" customHeight="1">
      <c r="B4" s="14"/>
      <c r="C4" s="1767" t="s">
        <v>441</v>
      </c>
      <c r="D4" s="1767" t="s">
        <v>404</v>
      </c>
      <c r="E4" s="1768" t="s">
        <v>1535</v>
      </c>
      <c r="F4" s="1770">
        <f>TY</f>
        <v>44348</v>
      </c>
      <c r="G4" s="1770"/>
      <c r="H4" s="1769" t="str">
        <f>CTY</f>
        <v>Apr-21 to Jun-21</v>
      </c>
      <c r="I4" s="1769"/>
      <c r="J4" s="677" t="s">
        <v>885</v>
      </c>
      <c r="K4" s="434"/>
    </row>
    <row r="5" spans="2:12">
      <c r="B5" s="14"/>
      <c r="C5" s="1767"/>
      <c r="D5" s="1767"/>
      <c r="E5" s="1768"/>
      <c r="F5" s="1111" t="s">
        <v>442</v>
      </c>
      <c r="G5" s="1111" t="s">
        <v>444</v>
      </c>
      <c r="H5" s="1111" t="s">
        <v>442</v>
      </c>
      <c r="I5" s="1111" t="s">
        <v>444</v>
      </c>
      <c r="J5" s="62" t="s">
        <v>445</v>
      </c>
      <c r="K5" s="434"/>
    </row>
    <row r="6" spans="2:12">
      <c r="B6" s="14"/>
      <c r="C6" s="1767" t="s">
        <v>405</v>
      </c>
      <c r="D6" s="589" t="s">
        <v>415</v>
      </c>
      <c r="E6" s="589">
        <f>'12'!D54</f>
        <v>5400</v>
      </c>
      <c r="F6" s="590">
        <f>VLOOKUP(TY,Data!$BA$282:$BS$296,3,FALSE)</f>
        <v>0</v>
      </c>
      <c r="G6" s="590">
        <f>VLOOKUP(TY,Data!$BA$282:$BS$296,11,FALSE)</f>
        <v>0</v>
      </c>
      <c r="H6" s="1177">
        <f ca="1">SUM(Data!$BK$284:OFFSET(Data!$BK$284,MONTH(TY)-4,0))</f>
        <v>0</v>
      </c>
      <c r="I6" s="1177">
        <f ca="1">SUM(Data!$BK$284:OFFSET(Data!$BK$284,MONTH(TY)-4,0))</f>
        <v>0</v>
      </c>
      <c r="J6" s="589">
        <f ca="1">I6-H6</f>
        <v>0</v>
      </c>
      <c r="K6" s="434"/>
    </row>
    <row r="7" spans="2:12">
      <c r="B7" s="14"/>
      <c r="C7" s="1767"/>
      <c r="D7" s="589" t="s">
        <v>413</v>
      </c>
      <c r="E7" s="589">
        <f>'12'!D55</f>
        <v>4360</v>
      </c>
      <c r="F7" s="590">
        <f>VLOOKUP(TY,Data!$BA$282:$BS$296,4,FALSE)</f>
        <v>660</v>
      </c>
      <c r="G7" s="590">
        <f>VLOOKUP(TY,Data!$BA$282:$BS$296,12,FALSE)</f>
        <v>0</v>
      </c>
      <c r="H7" s="1177">
        <f ca="1">SUM(Data!$BD$284:OFFSET(Data!$BD$284,MONTH(TY)-4,0))</f>
        <v>660</v>
      </c>
      <c r="I7" s="1177">
        <f ca="1">SUM(Data!$BL$284:OFFSET(Data!$BL$284,MONTH(TY)-4,0))</f>
        <v>0</v>
      </c>
      <c r="J7" s="589">
        <f t="shared" ref="J7:J18" ca="1" si="0">I7-H7</f>
        <v>-660</v>
      </c>
      <c r="K7" s="434"/>
    </row>
    <row r="8" spans="2:12">
      <c r="B8" s="14"/>
      <c r="C8" s="1767"/>
      <c r="D8" s="589" t="s">
        <v>414</v>
      </c>
      <c r="E8" s="589">
        <f>'12'!D56</f>
        <v>525</v>
      </c>
      <c r="F8" s="590">
        <f>VLOOKUP(TY,Data!$BA$282:$BS$296,5,FALSE)</f>
        <v>0</v>
      </c>
      <c r="G8" s="590">
        <f>VLOOKUP(TY,Data!$BA$282:$BS$296,12,FALSE)</f>
        <v>0</v>
      </c>
      <c r="H8" s="1177">
        <f ca="1">SUM(Data!$BE$284:OFFSET(Data!$BE$284,MONTH(TY)-4,0))</f>
        <v>525</v>
      </c>
      <c r="I8" s="1177">
        <f ca="1">SUM(Data!$BM$284:OFFSET(Data!$BM$284,MONTH(TY)-4,0))</f>
        <v>0</v>
      </c>
      <c r="J8" s="589">
        <f t="shared" ca="1" si="0"/>
        <v>-525</v>
      </c>
      <c r="K8" s="434"/>
    </row>
    <row r="9" spans="2:12">
      <c r="B9" s="14"/>
      <c r="C9" s="1767"/>
      <c r="D9" s="61" t="s">
        <v>406</v>
      </c>
      <c r="E9" s="61">
        <f>SUM(E6:E8)</f>
        <v>10285</v>
      </c>
      <c r="F9" s="199">
        <f>SUM(F6:F8)</f>
        <v>660</v>
      </c>
      <c r="G9" s="199">
        <f>SUM(G6:G8)</f>
        <v>0</v>
      </c>
      <c r="H9" s="199">
        <f ca="1">SUM(H6:H8)</f>
        <v>1185</v>
      </c>
      <c r="I9" s="199">
        <f ca="1">SUM(I6:I8)</f>
        <v>0</v>
      </c>
      <c r="J9" s="589">
        <f t="shared" ca="1" si="0"/>
        <v>-1185</v>
      </c>
      <c r="K9" s="434"/>
    </row>
    <row r="10" spans="2:12">
      <c r="B10" s="14"/>
      <c r="C10" s="1767" t="s">
        <v>407</v>
      </c>
      <c r="D10" s="589" t="s">
        <v>415</v>
      </c>
      <c r="E10" s="589">
        <f>'12'!F54</f>
        <v>0</v>
      </c>
      <c r="F10" s="590">
        <f>VLOOKUP(TY,Data!$BA$282:$BS$296,6,FALSE)</f>
        <v>0</v>
      </c>
      <c r="G10" s="590">
        <f>VLOOKUP(TY,Data!$BA$282:$BS$296,14,FALSE)</f>
        <v>0</v>
      </c>
      <c r="H10" s="1177">
        <f ca="1">SUM(Data!$BF$284:OFFSET(Data!$BF284,MONTH(TY)-4,0))</f>
        <v>0</v>
      </c>
      <c r="I10" s="1177">
        <f ca="1">SUM(Data!$BN$284:OFFSET(Data!$BN$284,MONTH(TY)-4,0))</f>
        <v>0</v>
      </c>
      <c r="J10" s="589">
        <f t="shared" ca="1" si="0"/>
        <v>0</v>
      </c>
      <c r="K10" s="434"/>
    </row>
    <row r="11" spans="2:12">
      <c r="B11" s="14"/>
      <c r="C11" s="1767"/>
      <c r="D11" s="589" t="s">
        <v>413</v>
      </c>
      <c r="E11" s="589">
        <f>'12'!F55</f>
        <v>100</v>
      </c>
      <c r="F11" s="590">
        <f>VLOOKUP(TY,Data!$BA$282:$BS$296,7,FALSE)</f>
        <v>0</v>
      </c>
      <c r="G11" s="590">
        <f>VLOOKUP(TY,Data!$BA$282:$BS$296,15,FALSE)</f>
        <v>0</v>
      </c>
      <c r="H11" s="1177">
        <f ca="1">SUM(Data!$BG$284:OFFSET(Data!$BG$284,MONTH(TY)-4,0))</f>
        <v>0</v>
      </c>
      <c r="I11" s="1177">
        <f ca="1">SUM(Data!$BO$284:OFFSET(Data!$BO$284,MONTH(TY)-4,0))</f>
        <v>0</v>
      </c>
      <c r="J11" s="589">
        <f t="shared" ca="1" si="0"/>
        <v>0</v>
      </c>
      <c r="K11" s="434"/>
    </row>
    <row r="12" spans="2:12">
      <c r="B12" s="14"/>
      <c r="C12" s="1767"/>
      <c r="D12" s="589" t="s">
        <v>414</v>
      </c>
      <c r="E12" s="589">
        <f>'12'!F56</f>
        <v>112.97799999999999</v>
      </c>
      <c r="F12" s="590">
        <f>VLOOKUP(TY,Data!$BA$282:$BS$296,8,FALSE)</f>
        <v>0</v>
      </c>
      <c r="G12" s="590">
        <f>VLOOKUP(TY,Data!$BA$282:$BS$296,16,FALSE)</f>
        <v>112.97799999999999</v>
      </c>
      <c r="H12" s="1177">
        <f ca="1">SUM(Data!$BH$284:OFFSET(Data!$BH$284,MONTH(TY)-4,0))</f>
        <v>112.97799999999999</v>
      </c>
      <c r="I12" s="1177">
        <f ca="1">SUM(Data!$BP$284:OFFSET(Data!$BP$284,MONTH(TY)-4,0))</f>
        <v>112.97799999999999</v>
      </c>
      <c r="J12" s="589">
        <f t="shared" ca="1" si="0"/>
        <v>0</v>
      </c>
      <c r="K12" s="434"/>
    </row>
    <row r="13" spans="2:12">
      <c r="B13" s="14"/>
      <c r="C13" s="1767"/>
      <c r="D13" s="61" t="s">
        <v>406</v>
      </c>
      <c r="E13" s="61">
        <f>SUM(E10:E12)</f>
        <v>212.97800000000001</v>
      </c>
      <c r="F13" s="199">
        <f>SUM(F10:F12)</f>
        <v>0</v>
      </c>
      <c r="G13" s="199">
        <f>SUM(G10:G12)</f>
        <v>112.97799999999999</v>
      </c>
      <c r="H13" s="199">
        <f ca="1">SUM(H10:H12)</f>
        <v>112.97799999999999</v>
      </c>
      <c r="I13" s="199">
        <f ca="1">SUM(I10:I12)</f>
        <v>112.97799999999999</v>
      </c>
      <c r="J13" s="589">
        <f t="shared" ca="1" si="0"/>
        <v>0</v>
      </c>
      <c r="K13" s="434"/>
    </row>
    <row r="14" spans="2:12">
      <c r="B14" s="14"/>
      <c r="C14" s="62" t="s">
        <v>411</v>
      </c>
      <c r="D14" s="61" t="s">
        <v>415</v>
      </c>
      <c r="E14" s="61">
        <f>'12'!H54</f>
        <v>700</v>
      </c>
      <c r="F14" s="590">
        <f>VLOOKUP(TY,Data!$BA$282:$BS$296,9,FALSE)</f>
        <v>0</v>
      </c>
      <c r="G14" s="590">
        <f>VLOOKUP(TY,Data!$BA$282:$BS$296,17,FALSE)</f>
        <v>0</v>
      </c>
      <c r="H14" s="1178">
        <f ca="1">SUM(Data!$BI$284:OFFSET(Data!$BI$284,MONTH(TY)-4,0))</f>
        <v>0</v>
      </c>
      <c r="I14" s="1178">
        <f ca="1">SUM(Data!$BQ$284:OFFSET(Data!$BQ$284,MONTH(TY)-4,0))</f>
        <v>0</v>
      </c>
      <c r="J14" s="589">
        <f t="shared" ca="1" si="0"/>
        <v>0</v>
      </c>
      <c r="K14" s="434"/>
    </row>
    <row r="15" spans="2:12">
      <c r="B15" s="14"/>
      <c r="C15" s="1767" t="s">
        <v>433</v>
      </c>
      <c r="D15" s="589" t="s">
        <v>415</v>
      </c>
      <c r="E15" s="589">
        <f t="shared" ref="E15:I15" si="1">E6+E10+E14</f>
        <v>6100</v>
      </c>
      <c r="F15" s="589">
        <f>F6+F10+F14</f>
        <v>0</v>
      </c>
      <c r="G15" s="589">
        <f>G6+G10+G14</f>
        <v>0</v>
      </c>
      <c r="H15" s="589">
        <f ca="1">H6+H10+H14</f>
        <v>0</v>
      </c>
      <c r="I15" s="589">
        <f t="shared" ca="1" si="1"/>
        <v>0</v>
      </c>
      <c r="J15" s="589">
        <f t="shared" ca="1" si="0"/>
        <v>0</v>
      </c>
      <c r="K15" s="434"/>
    </row>
    <row r="16" spans="2:12">
      <c r="B16" s="14"/>
      <c r="C16" s="1767"/>
      <c r="D16" s="589" t="s">
        <v>413</v>
      </c>
      <c r="E16" s="589">
        <f>E7+E11</f>
        <v>4460</v>
      </c>
      <c r="F16" s="589">
        <f>SUM(F7+F11)</f>
        <v>660</v>
      </c>
      <c r="G16" s="589">
        <f>SUM(G7+G11)</f>
        <v>0</v>
      </c>
      <c r="H16" s="589">
        <f t="shared" ref="H16:I17" ca="1" si="2">H7+H11</f>
        <v>660</v>
      </c>
      <c r="I16" s="589">
        <f t="shared" ca="1" si="2"/>
        <v>0</v>
      </c>
      <c r="J16" s="589">
        <f t="shared" ca="1" si="0"/>
        <v>-660</v>
      </c>
      <c r="K16" s="434"/>
    </row>
    <row r="17" spans="1:12">
      <c r="B17" s="14"/>
      <c r="C17" s="1767"/>
      <c r="D17" s="589" t="s">
        <v>414</v>
      </c>
      <c r="E17" s="589">
        <f>E8+E12</f>
        <v>637.97799999999995</v>
      </c>
      <c r="F17" s="589">
        <f>F8+F12</f>
        <v>0</v>
      </c>
      <c r="G17" s="589">
        <f>G8+G12</f>
        <v>112.97799999999999</v>
      </c>
      <c r="H17" s="589">
        <f ca="1">H8+H12</f>
        <v>637.97799999999995</v>
      </c>
      <c r="I17" s="589">
        <f t="shared" ca="1" si="2"/>
        <v>112.97799999999999</v>
      </c>
      <c r="J17" s="589">
        <f t="shared" ca="1" si="0"/>
        <v>-525</v>
      </c>
      <c r="K17" s="434"/>
    </row>
    <row r="18" spans="1:12" ht="24.75" customHeight="1">
      <c r="A18" s="412">
        <v>43252</v>
      </c>
      <c r="B18" s="421"/>
      <c r="C18" s="1771"/>
      <c r="D18" s="4" t="s">
        <v>406</v>
      </c>
      <c r="E18" s="4">
        <f>SUM(E15:E17)</f>
        <v>11197.977999999999</v>
      </c>
      <c r="F18" s="4">
        <f>SUM(F15:F17)</f>
        <v>660</v>
      </c>
      <c r="G18" s="4">
        <f>SUM(G15:G17)</f>
        <v>112.97799999999999</v>
      </c>
      <c r="H18" s="4">
        <f ca="1">SUM(H15:H17)</f>
        <v>1297.9780000000001</v>
      </c>
      <c r="I18" s="4">
        <f ca="1">SUM(I15:I17)</f>
        <v>112.97799999999999</v>
      </c>
      <c r="J18" s="589">
        <f t="shared" ca="1" si="0"/>
        <v>-1185</v>
      </c>
      <c r="K18" s="434"/>
    </row>
    <row r="19" spans="1:12" ht="14.25" customHeight="1">
      <c r="B19" s="14"/>
      <c r="C19" s="1775"/>
      <c r="D19" s="1775"/>
      <c r="E19" s="1775"/>
      <c r="F19" s="1775"/>
      <c r="G19" s="1775"/>
      <c r="H19" s="1775"/>
      <c r="I19" s="1775"/>
      <c r="J19" s="1775"/>
      <c r="K19" s="1776"/>
    </row>
    <row r="20" spans="1:12" ht="12" customHeight="1">
      <c r="B20" s="14"/>
      <c r="C20" s="37"/>
      <c r="D20" s="37"/>
      <c r="E20" s="37"/>
      <c r="F20" s="37"/>
      <c r="G20" s="37"/>
      <c r="H20" s="37"/>
      <c r="I20" s="37"/>
      <c r="J20" s="37"/>
      <c r="K20" s="433"/>
      <c r="L20" s="26"/>
    </row>
    <row r="21" spans="1:12">
      <c r="B21" s="14"/>
      <c r="C21" s="37"/>
      <c r="D21" s="37"/>
      <c r="E21" s="37"/>
      <c r="F21" s="37"/>
      <c r="G21" s="37"/>
      <c r="H21" s="37"/>
      <c r="I21" s="37"/>
      <c r="J21" s="37"/>
      <c r="K21" s="433"/>
    </row>
    <row r="22" spans="1:12">
      <c r="B22" s="14"/>
      <c r="C22" s="37"/>
      <c r="D22" s="37"/>
      <c r="E22" s="37"/>
      <c r="F22" s="37"/>
      <c r="G22" s="37"/>
      <c r="H22" s="37"/>
      <c r="I22" s="37"/>
      <c r="J22" s="37"/>
      <c r="K22" s="433"/>
    </row>
    <row r="23" spans="1:12">
      <c r="B23" s="14"/>
      <c r="C23" s="37"/>
      <c r="D23" s="37"/>
      <c r="E23" s="37"/>
      <c r="F23" s="37"/>
      <c r="G23" s="37"/>
      <c r="H23" s="37"/>
      <c r="I23" s="37"/>
      <c r="J23" s="37"/>
      <c r="K23" s="433"/>
    </row>
    <row r="24" spans="1:12">
      <c r="B24" s="14"/>
      <c r="C24" s="37"/>
      <c r="D24" s="37"/>
      <c r="E24" s="37"/>
      <c r="F24" s="37"/>
      <c r="G24" s="37"/>
      <c r="H24" s="37"/>
      <c r="I24" s="37"/>
      <c r="J24" s="37"/>
      <c r="K24" s="433"/>
    </row>
    <row r="25" spans="1:12">
      <c r="B25" s="14"/>
      <c r="C25" s="37"/>
      <c r="D25" s="37"/>
      <c r="E25" s="37"/>
      <c r="F25" s="37"/>
      <c r="G25" s="37"/>
      <c r="H25" s="37"/>
      <c r="I25" s="37"/>
      <c r="J25" s="37"/>
      <c r="K25" s="433"/>
    </row>
    <row r="26" spans="1:12">
      <c r="B26" s="14"/>
      <c r="C26" s="37"/>
      <c r="D26" s="37"/>
      <c r="E26" s="37"/>
      <c r="F26" s="37"/>
      <c r="G26" s="37"/>
      <c r="H26" s="37"/>
      <c r="I26" s="37"/>
      <c r="J26" s="37"/>
      <c r="K26" s="433"/>
    </row>
    <row r="27" spans="1:12">
      <c r="B27" s="14"/>
      <c r="C27" s="37"/>
      <c r="D27" s="37"/>
      <c r="E27" s="37"/>
      <c r="F27" s="37"/>
      <c r="G27" s="37"/>
      <c r="H27" s="37"/>
      <c r="I27" s="37"/>
      <c r="J27" s="37"/>
      <c r="K27" s="433"/>
    </row>
    <row r="28" spans="1:12">
      <c r="B28" s="14"/>
      <c r="C28" s="37"/>
      <c r="D28" s="37"/>
      <c r="E28" s="37"/>
      <c r="F28" s="37"/>
      <c r="G28" s="37"/>
      <c r="H28" s="37"/>
      <c r="I28" s="37"/>
      <c r="J28" s="37"/>
      <c r="K28" s="433"/>
    </row>
    <row r="29" spans="1:12">
      <c r="B29" s="14"/>
      <c r="K29" s="433"/>
    </row>
    <row r="30" spans="1:12">
      <c r="B30" s="14"/>
      <c r="K30" s="433"/>
    </row>
    <row r="31" spans="1:12">
      <c r="B31" s="14"/>
      <c r="C31" s="37" t="s">
        <v>623</v>
      </c>
      <c r="D31" s="37"/>
      <c r="E31" s="37"/>
      <c r="F31" s="37"/>
      <c r="G31" s="37"/>
      <c r="H31" s="37"/>
      <c r="I31" s="37"/>
      <c r="J31" s="37"/>
      <c r="K31" s="433"/>
    </row>
    <row r="32" spans="1:12">
      <c r="B32" s="14"/>
      <c r="C32" s="37"/>
      <c r="D32" s="37"/>
      <c r="E32" s="37"/>
      <c r="F32" s="37"/>
      <c r="G32" s="37"/>
      <c r="H32" s="37"/>
      <c r="I32" s="37"/>
      <c r="J32" s="37"/>
      <c r="K32" s="433"/>
    </row>
    <row r="33" spans="2:13">
      <c r="B33" s="14"/>
      <c r="C33" s="37"/>
      <c r="D33" s="37"/>
      <c r="E33" s="37"/>
      <c r="F33" s="37"/>
      <c r="G33" s="37"/>
      <c r="H33" s="37"/>
      <c r="I33" s="37"/>
      <c r="J33" s="37"/>
      <c r="K33" s="433"/>
    </row>
    <row r="34" spans="2:13">
      <c r="B34" s="14"/>
      <c r="C34" s="37"/>
      <c r="D34" s="37"/>
      <c r="E34" s="37"/>
      <c r="F34" s="37"/>
      <c r="G34" s="37"/>
      <c r="H34" s="37"/>
      <c r="I34" s="37"/>
      <c r="J34" s="37"/>
      <c r="K34" s="433"/>
    </row>
    <row r="35" spans="2:13" ht="24" customHeight="1">
      <c r="B35" s="14"/>
      <c r="K35" s="433"/>
    </row>
    <row r="36" spans="2:13" ht="23.25" customHeight="1">
      <c r="B36" s="1772" t="str">
        <f>" Capacity Addition Targets/Achievements during the Month of"  &amp;TEXT(TY," mmm-yyyy")</f>
        <v xml:space="preserve"> Capacity Addition Targets/Achievements during the Month of Jun-2021</v>
      </c>
      <c r="C36" s="1773"/>
      <c r="D36" s="1773"/>
      <c r="E36" s="1773"/>
      <c r="F36" s="1773"/>
      <c r="G36" s="1773"/>
      <c r="H36" s="1773"/>
      <c r="I36" s="1773"/>
      <c r="J36" s="1773"/>
      <c r="K36" s="1774"/>
    </row>
    <row r="37" spans="2:13">
      <c r="B37" s="14"/>
      <c r="K37" s="433"/>
      <c r="M37" s="38"/>
    </row>
    <row r="38" spans="2:13">
      <c r="B38" s="14"/>
      <c r="K38" s="433"/>
    </row>
    <row r="39" spans="2:13">
      <c r="B39" s="14"/>
      <c r="K39" s="433"/>
    </row>
    <row r="40" spans="2:13">
      <c r="B40" s="14"/>
      <c r="K40" s="433"/>
    </row>
    <row r="41" spans="2:13" ht="26.25" customHeight="1">
      <c r="B41" s="14"/>
      <c r="K41" s="433"/>
    </row>
    <row r="42" spans="2:13">
      <c r="B42" s="14"/>
      <c r="K42" s="433"/>
    </row>
    <row r="43" spans="2:13">
      <c r="B43" s="14"/>
      <c r="K43" s="433"/>
    </row>
    <row r="44" spans="2:13">
      <c r="B44" s="14"/>
      <c r="K44" s="433"/>
    </row>
    <row r="45" spans="2:13">
      <c r="B45" s="14"/>
      <c r="K45" s="433"/>
    </row>
    <row r="46" spans="2:13">
      <c r="B46" s="14"/>
      <c r="K46" s="433"/>
    </row>
    <row r="47" spans="2:13" ht="14.25" customHeight="1">
      <c r="B47" s="14"/>
      <c r="K47" s="433"/>
    </row>
    <row r="48" spans="2:13" ht="14.25" customHeight="1">
      <c r="B48" s="14"/>
      <c r="K48" s="433"/>
    </row>
    <row r="49" spans="2:12" ht="14.25" customHeight="1">
      <c r="B49" s="14"/>
      <c r="K49" s="433"/>
    </row>
    <row r="50" spans="2:12" ht="14.25" customHeight="1">
      <c r="B50" s="14"/>
      <c r="K50" s="433"/>
    </row>
    <row r="51" spans="2:12" ht="21.75" customHeight="1">
      <c r="B51" s="14"/>
      <c r="K51" s="213"/>
    </row>
    <row r="52" spans="2:12">
      <c r="B52" s="14"/>
      <c r="K52" s="433"/>
    </row>
    <row r="53" spans="2:12" ht="13.5" thickBot="1">
      <c r="B53" s="17"/>
      <c r="C53" s="18"/>
      <c r="D53" s="18"/>
      <c r="E53" s="18"/>
      <c r="F53" s="18"/>
      <c r="G53" s="18"/>
      <c r="H53" s="18"/>
      <c r="I53" s="18"/>
      <c r="J53" s="18"/>
      <c r="K53" s="101">
        <v>13</v>
      </c>
    </row>
    <row r="54" spans="2:12">
      <c r="B54" s="38"/>
      <c r="C54" s="38"/>
      <c r="D54" s="38"/>
      <c r="E54" s="38"/>
      <c r="F54" s="38"/>
      <c r="G54" s="38"/>
      <c r="H54" s="38"/>
      <c r="I54" s="38"/>
      <c r="J54" s="38"/>
    </row>
    <row r="55" spans="2:12">
      <c r="B55" s="38"/>
      <c r="C55" s="38"/>
      <c r="D55" s="38" t="s">
        <v>442</v>
      </c>
      <c r="E55" s="38" t="s">
        <v>444</v>
      </c>
      <c r="F55" s="38"/>
      <c r="G55" s="134"/>
      <c r="H55" s="134"/>
      <c r="I55" s="134" t="s">
        <v>442</v>
      </c>
      <c r="J55" s="134" t="s">
        <v>444</v>
      </c>
      <c r="K55" s="12"/>
      <c r="L55" s="59"/>
    </row>
    <row r="56" spans="2:12" s="59" customFormat="1">
      <c r="B56" s="38"/>
      <c r="C56" s="38" t="s">
        <v>405</v>
      </c>
      <c r="D56" s="387">
        <f ca="1">H9</f>
        <v>1185</v>
      </c>
      <c r="E56" s="387">
        <f ca="1">I9</f>
        <v>0</v>
      </c>
      <c r="F56" s="134"/>
      <c r="G56" s="38"/>
      <c r="H56" s="134" t="s">
        <v>405</v>
      </c>
      <c r="I56" s="134">
        <f>F9</f>
        <v>660</v>
      </c>
      <c r="J56" s="134">
        <f>G9</f>
        <v>0</v>
      </c>
      <c r="K56" s="12"/>
    </row>
    <row r="57" spans="2:12" s="59" customFormat="1">
      <c r="B57" s="38"/>
      <c r="C57" s="38" t="s">
        <v>407</v>
      </c>
      <c r="D57" s="387">
        <f ca="1">H13</f>
        <v>112.97799999999999</v>
      </c>
      <c r="E57" s="387">
        <f ca="1">I13</f>
        <v>112.97799999999999</v>
      </c>
      <c r="F57" s="134"/>
      <c r="G57" s="38"/>
      <c r="H57" s="134" t="s">
        <v>407</v>
      </c>
      <c r="I57" s="134">
        <f>F13</f>
        <v>0</v>
      </c>
      <c r="J57" s="134">
        <f>G13</f>
        <v>112.97799999999999</v>
      </c>
      <c r="K57" s="12"/>
    </row>
    <row r="58" spans="2:12" s="59" customFormat="1">
      <c r="B58" s="38"/>
      <c r="C58" s="38" t="s">
        <v>411</v>
      </c>
      <c r="D58" s="387">
        <f ca="1">H14</f>
        <v>0</v>
      </c>
      <c r="E58" s="387">
        <f ca="1">I14</f>
        <v>0</v>
      </c>
      <c r="F58" s="134"/>
      <c r="G58" s="38"/>
      <c r="H58" s="134" t="s">
        <v>411</v>
      </c>
      <c r="I58" s="134">
        <f>F14</f>
        <v>0</v>
      </c>
      <c r="J58" s="134">
        <f>G14</f>
        <v>0</v>
      </c>
      <c r="K58" s="12"/>
    </row>
    <row r="59" spans="2:12" s="59" customFormat="1">
      <c r="B59" s="38"/>
      <c r="C59" s="38" t="s">
        <v>406</v>
      </c>
      <c r="D59" s="387">
        <f ca="1">H18</f>
        <v>1297.9780000000001</v>
      </c>
      <c r="E59" s="387">
        <f ca="1">I18</f>
        <v>112.97799999999999</v>
      </c>
      <c r="F59" s="134"/>
      <c r="G59" s="38"/>
      <c r="H59" s="134" t="s">
        <v>406</v>
      </c>
      <c r="I59" s="134">
        <f>F18</f>
        <v>660</v>
      </c>
      <c r="J59" s="134">
        <f>G18</f>
        <v>112.97799999999999</v>
      </c>
      <c r="K59" s="12"/>
    </row>
    <row r="60" spans="2:12" s="59" customFormat="1">
      <c r="F60" s="12"/>
    </row>
    <row r="435" ht="23.25" customHeight="1"/>
  </sheetData>
  <mergeCells count="11">
    <mergeCell ref="C10:C13"/>
    <mergeCell ref="C15:C18"/>
    <mergeCell ref="B36:K36"/>
    <mergeCell ref="C19:K19"/>
    <mergeCell ref="C6:C9"/>
    <mergeCell ref="B2:K2"/>
    <mergeCell ref="C4:C5"/>
    <mergeCell ref="D4:D5"/>
    <mergeCell ref="E4:E5"/>
    <mergeCell ref="H4:I4"/>
    <mergeCell ref="F4:G4"/>
  </mergeCells>
  <phoneticPr fontId="17" type="noConversion"/>
  <printOptions horizontalCentered="1" verticalCentered="1"/>
  <pageMargins left="0.75" right="0.75" top="1" bottom="1" header="0.5" footer="0.5"/>
  <pageSetup scale="75"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rgb="FF002060"/>
  </sheetPr>
  <dimension ref="A1:AA329"/>
  <sheetViews>
    <sheetView view="pageBreakPreview" topLeftCell="A316" zoomScale="64" zoomScaleNormal="100" zoomScaleSheetLayoutView="64" workbookViewId="0">
      <selection activeCell="J28" sqref="J28"/>
    </sheetView>
  </sheetViews>
  <sheetFormatPr defaultColWidth="9.140625" defaultRowHeight="15"/>
  <cols>
    <col min="1" max="1" width="3.7109375" style="686" customWidth="1"/>
    <col min="2" max="2" width="22" style="690" customWidth="1"/>
    <col min="3" max="3" width="20.7109375" style="690" customWidth="1"/>
    <col min="4" max="4" width="20" style="690" customWidth="1"/>
    <col min="5" max="5" width="12.7109375" style="690" customWidth="1"/>
    <col min="6" max="6" width="12.5703125" style="690" customWidth="1"/>
    <col min="7" max="7" width="13" style="690" customWidth="1"/>
    <col min="8" max="8" width="14.7109375" style="690" customWidth="1"/>
    <col min="9" max="9" width="13.42578125" style="690" customWidth="1"/>
    <col min="10" max="10" width="14.28515625" style="690" customWidth="1"/>
    <col min="11" max="11" width="14.28515625" style="691" customWidth="1"/>
    <col min="12" max="12" width="17.140625" style="690" customWidth="1"/>
    <col min="13" max="13" width="12.85546875" style="686" customWidth="1"/>
    <col min="14" max="14" width="18.85546875" style="686" bestFit="1" customWidth="1"/>
    <col min="15" max="16384" width="9.140625" style="686"/>
  </cols>
  <sheetData>
    <row r="1" spans="1:27" ht="19.5" customHeight="1">
      <c r="A1" s="1002"/>
      <c r="B1" s="1020"/>
      <c r="C1" s="1021"/>
      <c r="D1" s="1022"/>
      <c r="E1" s="1022"/>
      <c r="F1" s="1022"/>
      <c r="G1" s="1023"/>
      <c r="H1" s="1022"/>
      <c r="I1" s="1022"/>
      <c r="J1" s="1022"/>
      <c r="K1" s="1022"/>
      <c r="L1" s="1022"/>
    </row>
    <row r="2" spans="1:27" ht="51.75" customHeight="1">
      <c r="A2" s="1002"/>
      <c r="B2" s="1829" t="s">
        <v>2008</v>
      </c>
      <c r="C2" s="1829"/>
      <c r="D2" s="1829"/>
      <c r="E2" s="1829"/>
      <c r="F2" s="1829"/>
      <c r="G2" s="1829"/>
      <c r="H2" s="1829"/>
      <c r="I2" s="1829"/>
      <c r="J2" s="1829"/>
      <c r="K2" s="1829"/>
      <c r="L2" s="1829"/>
    </row>
    <row r="3" spans="1:27" ht="19.5" customHeight="1">
      <c r="A3" s="1002"/>
      <c r="C3" s="1102"/>
      <c r="D3" s="1102"/>
      <c r="E3" s="1102"/>
      <c r="F3" s="1102"/>
      <c r="G3" s="1102"/>
      <c r="H3" s="1102"/>
      <c r="I3" s="1102"/>
      <c r="J3" s="1102"/>
      <c r="K3" s="1102"/>
      <c r="L3" s="1457" t="s">
        <v>1963</v>
      </c>
    </row>
    <row r="4" spans="1:27" ht="19.5" customHeight="1">
      <c r="A4" s="1002"/>
      <c r="B4" s="1829" t="s">
        <v>1667</v>
      </c>
      <c r="C4" s="1829"/>
      <c r="D4" s="1829"/>
      <c r="E4" s="1829"/>
      <c r="F4" s="1829"/>
      <c r="G4" s="1829"/>
      <c r="H4" s="1829"/>
      <c r="I4" s="1829"/>
      <c r="J4" s="1829"/>
      <c r="K4" s="1829"/>
      <c r="L4" s="1829"/>
    </row>
    <row r="5" spans="1:27" ht="19.5" customHeight="1">
      <c r="A5" s="1002"/>
      <c r="B5" s="1103"/>
      <c r="C5" s="1103"/>
      <c r="D5" s="1103"/>
      <c r="E5" s="1103"/>
      <c r="F5" s="1103"/>
      <c r="G5" s="1103"/>
      <c r="H5" s="1103"/>
      <c r="I5" s="1103"/>
      <c r="J5" s="1103"/>
      <c r="K5" s="1103"/>
      <c r="L5" s="1103"/>
    </row>
    <row r="6" spans="1:27" ht="19.5" customHeight="1">
      <c r="A6" s="1002"/>
      <c r="B6" s="1785" t="s">
        <v>402</v>
      </c>
      <c r="C6" s="1788" t="s">
        <v>1668</v>
      </c>
      <c r="D6" s="1791" t="s">
        <v>1669</v>
      </c>
      <c r="E6" s="1792"/>
      <c r="F6" s="1792"/>
      <c r="G6" s="1792"/>
      <c r="H6" s="1792"/>
      <c r="I6" s="1792"/>
      <c r="J6" s="1792"/>
      <c r="K6" s="1793"/>
      <c r="L6" s="1794" t="s">
        <v>403</v>
      </c>
    </row>
    <row r="7" spans="1:27" ht="19.5" customHeight="1">
      <c r="A7" s="1002"/>
      <c r="B7" s="1786"/>
      <c r="C7" s="1789"/>
      <c r="D7" s="1797" t="s">
        <v>405</v>
      </c>
      <c r="E7" s="1798"/>
      <c r="F7" s="1798"/>
      <c r="G7" s="1798"/>
      <c r="H7" s="1798"/>
      <c r="I7" s="1799" t="s">
        <v>411</v>
      </c>
      <c r="J7" s="1800" t="s">
        <v>86</v>
      </c>
      <c r="K7" s="1802" t="s">
        <v>1670</v>
      </c>
      <c r="L7" s="1795"/>
    </row>
    <row r="8" spans="1:27" ht="19.5" customHeight="1">
      <c r="A8" s="1002"/>
      <c r="B8" s="1787"/>
      <c r="C8" s="1790"/>
      <c r="D8" s="1090" t="s">
        <v>408</v>
      </c>
      <c r="E8" s="1004" t="s">
        <v>888</v>
      </c>
      <c r="F8" s="1004" t="s">
        <v>409</v>
      </c>
      <c r="G8" s="1004" t="s">
        <v>410</v>
      </c>
      <c r="H8" s="1004" t="s">
        <v>406</v>
      </c>
      <c r="I8" s="1797"/>
      <c r="J8" s="1801"/>
      <c r="K8" s="1803"/>
      <c r="L8" s="1796"/>
      <c r="N8" s="687"/>
      <c r="R8" s="687"/>
      <c r="S8" s="687"/>
      <c r="T8" s="687"/>
      <c r="U8" s="687"/>
      <c r="V8" s="687"/>
      <c r="W8" s="687"/>
      <c r="X8" s="687"/>
      <c r="Y8" s="687"/>
      <c r="Z8" s="687"/>
      <c r="AA8" s="687"/>
    </row>
    <row r="9" spans="1:27" ht="19.5" customHeight="1">
      <c r="A9" s="1002"/>
      <c r="B9" s="1777" t="s">
        <v>1671</v>
      </c>
      <c r="C9" s="849" t="s">
        <v>413</v>
      </c>
      <c r="D9" s="850">
        <v>16659</v>
      </c>
      <c r="E9" s="850">
        <v>250</v>
      </c>
      <c r="F9" s="850">
        <v>2879.2</v>
      </c>
      <c r="G9" s="850">
        <v>0</v>
      </c>
      <c r="H9" s="850">
        <v>19788.2</v>
      </c>
      <c r="I9" s="850">
        <v>0</v>
      </c>
      <c r="J9" s="850">
        <v>5888.25</v>
      </c>
      <c r="K9" s="850">
        <v>725.51</v>
      </c>
      <c r="L9" s="851">
        <v>26401.96</v>
      </c>
      <c r="N9" s="687"/>
    </row>
    <row r="10" spans="1:27" ht="19.5" customHeight="1">
      <c r="A10" s="1002"/>
      <c r="B10" s="1777"/>
      <c r="C10" s="852" t="s">
        <v>414</v>
      </c>
      <c r="D10" s="853">
        <v>22425.83</v>
      </c>
      <c r="E10" s="853">
        <v>1080</v>
      </c>
      <c r="F10" s="853">
        <v>558</v>
      </c>
      <c r="G10" s="853">
        <v>0</v>
      </c>
      <c r="H10" s="853">
        <v>24063.83</v>
      </c>
      <c r="I10" s="853">
        <v>0</v>
      </c>
      <c r="J10" s="853">
        <v>2916</v>
      </c>
      <c r="K10" s="853">
        <v>18630.130000000005</v>
      </c>
      <c r="L10" s="854">
        <v>45609.960000000006</v>
      </c>
      <c r="N10" s="687"/>
    </row>
    <row r="11" spans="1:27" ht="19.5" customHeight="1">
      <c r="A11" s="1002"/>
      <c r="B11" s="1777"/>
      <c r="C11" s="855" t="s">
        <v>415</v>
      </c>
      <c r="D11" s="856">
        <v>15662.478999999998</v>
      </c>
      <c r="E11" s="856">
        <v>250</v>
      </c>
      <c r="F11" s="856">
        <v>2344.0600000000004</v>
      </c>
      <c r="G11" s="856">
        <v>0</v>
      </c>
      <c r="H11" s="856">
        <v>18256.538999999997</v>
      </c>
      <c r="I11" s="856">
        <v>1620.0000000000002</v>
      </c>
      <c r="J11" s="856">
        <v>11484.520000000002</v>
      </c>
      <c r="K11" s="856">
        <v>379</v>
      </c>
      <c r="L11" s="851">
        <v>31740.059000000001</v>
      </c>
      <c r="N11" s="687"/>
    </row>
    <row r="12" spans="1:27" ht="19.5" customHeight="1">
      <c r="A12" s="1002"/>
      <c r="B12" s="1777"/>
      <c r="C12" s="857" t="s">
        <v>1672</v>
      </c>
      <c r="D12" s="858">
        <v>54747.309000000001</v>
      </c>
      <c r="E12" s="858">
        <v>1580</v>
      </c>
      <c r="F12" s="858">
        <v>5781.26</v>
      </c>
      <c r="G12" s="858">
        <v>0</v>
      </c>
      <c r="H12" s="858">
        <v>62108.568999999996</v>
      </c>
      <c r="I12" s="858">
        <v>1620.0000000000002</v>
      </c>
      <c r="J12" s="858">
        <v>20288.770000000004</v>
      </c>
      <c r="K12" s="858">
        <v>19734.640000000003</v>
      </c>
      <c r="L12" s="859">
        <v>103751.97900000002</v>
      </c>
      <c r="N12" s="687"/>
    </row>
    <row r="13" spans="1:27" ht="19.5" customHeight="1">
      <c r="A13" s="1002"/>
      <c r="B13" s="1778" t="s">
        <v>1673</v>
      </c>
      <c r="C13" s="855" t="s">
        <v>413</v>
      </c>
      <c r="D13" s="856">
        <v>21500</v>
      </c>
      <c r="E13" s="856">
        <v>900</v>
      </c>
      <c r="F13" s="856">
        <v>2849.82</v>
      </c>
      <c r="G13" s="856">
        <v>0</v>
      </c>
      <c r="H13" s="856">
        <v>25249.82</v>
      </c>
      <c r="I13" s="856">
        <v>0</v>
      </c>
      <c r="J13" s="856">
        <v>5446.5</v>
      </c>
      <c r="K13" s="856">
        <v>569.28</v>
      </c>
      <c r="L13" s="851">
        <v>31265.599999999999</v>
      </c>
      <c r="N13" s="687"/>
    </row>
    <row r="14" spans="1:27" ht="19.5" customHeight="1">
      <c r="A14" s="1002"/>
      <c r="B14" s="1779"/>
      <c r="C14" s="852" t="s">
        <v>414</v>
      </c>
      <c r="D14" s="853">
        <v>32847.17</v>
      </c>
      <c r="E14" s="853">
        <v>500</v>
      </c>
      <c r="F14" s="853">
        <v>4676</v>
      </c>
      <c r="G14" s="853">
        <v>0</v>
      </c>
      <c r="H14" s="853">
        <v>38023.17</v>
      </c>
      <c r="I14" s="853">
        <v>0</v>
      </c>
      <c r="J14" s="853">
        <v>481</v>
      </c>
      <c r="K14" s="853">
        <v>29131.619999999995</v>
      </c>
      <c r="L14" s="854">
        <v>67635.789999999994</v>
      </c>
      <c r="N14" s="687"/>
    </row>
    <row r="15" spans="1:27" ht="19.5" customHeight="1">
      <c r="A15" s="1002"/>
      <c r="B15" s="1779"/>
      <c r="C15" s="855" t="s">
        <v>415</v>
      </c>
      <c r="D15" s="856">
        <v>20133.002</v>
      </c>
      <c r="E15" s="856">
        <v>0</v>
      </c>
      <c r="F15" s="856">
        <v>3280.6700000000005</v>
      </c>
      <c r="G15" s="856">
        <v>0</v>
      </c>
      <c r="H15" s="856">
        <v>23413.672000000002</v>
      </c>
      <c r="I15" s="856">
        <v>1840</v>
      </c>
      <c r="J15" s="856">
        <v>1635</v>
      </c>
      <c r="K15" s="856">
        <v>666.3</v>
      </c>
      <c r="L15" s="851">
        <v>27554.972000000005</v>
      </c>
      <c r="N15" s="687"/>
    </row>
    <row r="16" spans="1:27" ht="19.5" customHeight="1">
      <c r="A16" s="1002"/>
      <c r="B16" s="1780"/>
      <c r="C16" s="857" t="s">
        <v>1672</v>
      </c>
      <c r="D16" s="858">
        <v>74480.171999999991</v>
      </c>
      <c r="E16" s="858">
        <v>1400</v>
      </c>
      <c r="F16" s="858">
        <v>10806.49</v>
      </c>
      <c r="G16" s="858">
        <v>0</v>
      </c>
      <c r="H16" s="858">
        <v>86686.661999999997</v>
      </c>
      <c r="I16" s="858">
        <v>1840</v>
      </c>
      <c r="J16" s="858">
        <v>7562.5</v>
      </c>
      <c r="K16" s="858">
        <v>30367.199999999993</v>
      </c>
      <c r="L16" s="859">
        <v>126456.36199999999</v>
      </c>
      <c r="N16" s="687"/>
    </row>
    <row r="17" spans="1:14" ht="19.5" customHeight="1">
      <c r="A17" s="1002"/>
      <c r="B17" s="1777" t="s">
        <v>1674</v>
      </c>
      <c r="C17" s="849" t="s">
        <v>413</v>
      </c>
      <c r="D17" s="850">
        <v>20322.5</v>
      </c>
      <c r="E17" s="850">
        <v>0</v>
      </c>
      <c r="F17" s="850">
        <v>791.98</v>
      </c>
      <c r="G17" s="850">
        <v>159.96</v>
      </c>
      <c r="H17" s="850">
        <v>21274.44</v>
      </c>
      <c r="I17" s="850">
        <v>0</v>
      </c>
      <c r="J17" s="850">
        <v>11774.83</v>
      </c>
      <c r="K17" s="850">
        <v>592.87700000000007</v>
      </c>
      <c r="L17" s="851">
        <v>33642.146999999997</v>
      </c>
      <c r="N17" s="687"/>
    </row>
    <row r="18" spans="1:14" ht="19.5" customHeight="1">
      <c r="A18" s="1002"/>
      <c r="B18" s="1777"/>
      <c r="C18" s="852" t="s">
        <v>414</v>
      </c>
      <c r="D18" s="853">
        <v>12747</v>
      </c>
      <c r="E18" s="853">
        <v>250</v>
      </c>
      <c r="F18" s="853">
        <v>5340.2439999999997</v>
      </c>
      <c r="G18" s="853">
        <v>273.70100000000002</v>
      </c>
      <c r="H18" s="853">
        <v>18610.945</v>
      </c>
      <c r="I18" s="853">
        <v>0</v>
      </c>
      <c r="J18" s="853">
        <v>0</v>
      </c>
      <c r="K18" s="853">
        <v>43702.972999999998</v>
      </c>
      <c r="L18" s="854">
        <v>62313.917999999998</v>
      </c>
      <c r="N18" s="687"/>
    </row>
    <row r="19" spans="1:14" ht="19.5" customHeight="1">
      <c r="A19" s="1002"/>
      <c r="B19" s="1777"/>
      <c r="C19" s="855" t="s">
        <v>415</v>
      </c>
      <c r="D19" s="856">
        <v>11835.024000000001</v>
      </c>
      <c r="E19" s="856">
        <v>3390.0000000000005</v>
      </c>
      <c r="F19" s="856">
        <v>359.58000000000004</v>
      </c>
      <c r="G19" s="856">
        <v>0</v>
      </c>
      <c r="H19" s="856">
        <v>15584.604000000001</v>
      </c>
      <c r="I19" s="856">
        <v>3320</v>
      </c>
      <c r="J19" s="856">
        <v>0</v>
      </c>
      <c r="K19" s="856">
        <v>541.9</v>
      </c>
      <c r="L19" s="851">
        <v>19446.504000000001</v>
      </c>
      <c r="N19" s="687"/>
    </row>
    <row r="20" spans="1:14" ht="19.5" customHeight="1">
      <c r="A20" s="1002"/>
      <c r="B20" s="1777"/>
      <c r="C20" s="857" t="s">
        <v>1672</v>
      </c>
      <c r="D20" s="858">
        <v>44904.524000000005</v>
      </c>
      <c r="E20" s="858">
        <v>3640.0000000000005</v>
      </c>
      <c r="F20" s="858">
        <v>6491.8040000000001</v>
      </c>
      <c r="G20" s="858">
        <v>433.66100000000006</v>
      </c>
      <c r="H20" s="858">
        <v>55469.988999999994</v>
      </c>
      <c r="I20" s="858">
        <v>3320</v>
      </c>
      <c r="J20" s="858">
        <v>11774.83</v>
      </c>
      <c r="K20" s="858">
        <v>44837.75</v>
      </c>
      <c r="L20" s="859">
        <v>115402.569</v>
      </c>
      <c r="N20" s="687"/>
    </row>
    <row r="21" spans="1:14" ht="19.5" customHeight="1">
      <c r="A21" s="1002"/>
      <c r="B21" s="1778" t="s">
        <v>1675</v>
      </c>
      <c r="C21" s="855" t="s">
        <v>413</v>
      </c>
      <c r="D21" s="856">
        <v>7450</v>
      </c>
      <c r="E21" s="856">
        <v>0</v>
      </c>
      <c r="F21" s="856">
        <v>100</v>
      </c>
      <c r="G21" s="856">
        <v>0</v>
      </c>
      <c r="H21" s="856">
        <v>7550</v>
      </c>
      <c r="I21" s="856">
        <v>0</v>
      </c>
      <c r="J21" s="856">
        <v>3537.92</v>
      </c>
      <c r="K21" s="856">
        <v>275.11</v>
      </c>
      <c r="L21" s="851">
        <v>11363.029999999999</v>
      </c>
      <c r="N21" s="687"/>
    </row>
    <row r="22" spans="1:14" ht="19.5" customHeight="1">
      <c r="A22" s="1002"/>
      <c r="B22" s="1779"/>
      <c r="C22" s="852" t="s">
        <v>414</v>
      </c>
      <c r="D22" s="853">
        <v>6153</v>
      </c>
      <c r="E22" s="853">
        <v>0</v>
      </c>
      <c r="F22" s="853">
        <v>0</v>
      </c>
      <c r="G22" s="853">
        <v>0</v>
      </c>
      <c r="H22" s="853">
        <v>6153</v>
      </c>
      <c r="I22" s="853">
        <v>0</v>
      </c>
      <c r="J22" s="853">
        <v>209</v>
      </c>
      <c r="K22" s="853">
        <v>1310.1899999999998</v>
      </c>
      <c r="L22" s="854">
        <v>7672.19</v>
      </c>
      <c r="N22" s="687"/>
    </row>
    <row r="23" spans="1:14" ht="19.5" customHeight="1">
      <c r="A23" s="1002"/>
      <c r="B23" s="1779"/>
      <c r="C23" s="855" t="s">
        <v>415</v>
      </c>
      <c r="D23" s="856">
        <v>13499.474999999999</v>
      </c>
      <c r="E23" s="856">
        <v>0</v>
      </c>
      <c r="F23" s="856">
        <v>0</v>
      </c>
      <c r="G23" s="856">
        <v>0</v>
      </c>
      <c r="H23" s="856">
        <v>13499.474999999999</v>
      </c>
      <c r="I23" s="856">
        <v>0</v>
      </c>
      <c r="J23" s="856">
        <v>1005.2</v>
      </c>
      <c r="K23" s="856">
        <v>10</v>
      </c>
      <c r="L23" s="851">
        <v>14514.674999999999</v>
      </c>
      <c r="N23" s="687"/>
    </row>
    <row r="24" spans="1:14" ht="19.5" customHeight="1">
      <c r="A24" s="1002"/>
      <c r="B24" s="1780"/>
      <c r="C24" s="857" t="s">
        <v>1672</v>
      </c>
      <c r="D24" s="858">
        <v>27102.474999999999</v>
      </c>
      <c r="E24" s="858">
        <v>0</v>
      </c>
      <c r="F24" s="858">
        <v>100</v>
      </c>
      <c r="G24" s="858">
        <v>0</v>
      </c>
      <c r="H24" s="858">
        <v>27202.474999999999</v>
      </c>
      <c r="I24" s="858">
        <v>0</v>
      </c>
      <c r="J24" s="858">
        <v>4752.12</v>
      </c>
      <c r="K24" s="858">
        <v>1595.2999999999997</v>
      </c>
      <c r="L24" s="859">
        <v>33549.894999999997</v>
      </c>
      <c r="N24" s="687"/>
    </row>
    <row r="25" spans="1:14" ht="19.5" customHeight="1">
      <c r="A25" s="1002"/>
      <c r="B25" s="1777" t="s">
        <v>1676</v>
      </c>
      <c r="C25" s="849" t="s">
        <v>413</v>
      </c>
      <c r="D25" s="850">
        <v>0</v>
      </c>
      <c r="E25" s="850">
        <v>0</v>
      </c>
      <c r="F25" s="850">
        <v>466.35500000000002</v>
      </c>
      <c r="G25" s="850">
        <v>36</v>
      </c>
      <c r="H25" s="850">
        <v>502.35500000000002</v>
      </c>
      <c r="I25" s="850">
        <v>0</v>
      </c>
      <c r="J25" s="850">
        <v>422</v>
      </c>
      <c r="K25" s="850">
        <v>233.24499999999998</v>
      </c>
      <c r="L25" s="851">
        <v>1157.5999999999999</v>
      </c>
      <c r="N25" s="687"/>
    </row>
    <row r="26" spans="1:14" ht="19.5" customHeight="1">
      <c r="A26" s="1002"/>
      <c r="B26" s="1777"/>
      <c r="C26" s="852" t="s">
        <v>414</v>
      </c>
      <c r="D26" s="853">
        <v>0</v>
      </c>
      <c r="E26" s="853">
        <v>0</v>
      </c>
      <c r="F26" s="853">
        <v>24.5</v>
      </c>
      <c r="G26" s="853">
        <v>0</v>
      </c>
      <c r="H26" s="853">
        <v>24.5</v>
      </c>
      <c r="I26" s="853">
        <v>0</v>
      </c>
      <c r="J26" s="853">
        <v>0</v>
      </c>
      <c r="K26" s="853">
        <v>122.14999999999999</v>
      </c>
      <c r="L26" s="854">
        <v>146.65</v>
      </c>
      <c r="N26" s="687"/>
    </row>
    <row r="27" spans="1:14" ht="19.5" customHeight="1">
      <c r="A27" s="1002"/>
      <c r="B27" s="1777"/>
      <c r="C27" s="855" t="s">
        <v>415</v>
      </c>
      <c r="D27" s="856">
        <v>770.02</v>
      </c>
      <c r="E27" s="856">
        <v>0</v>
      </c>
      <c r="F27" s="856">
        <v>1253.5999999999999</v>
      </c>
      <c r="G27" s="856">
        <v>0</v>
      </c>
      <c r="H27" s="856">
        <v>2023.62</v>
      </c>
      <c r="I27" s="856">
        <v>0</v>
      </c>
      <c r="J27" s="856">
        <v>1522</v>
      </c>
      <c r="K27" s="856">
        <v>30</v>
      </c>
      <c r="L27" s="851">
        <v>3575.6199999999994</v>
      </c>
      <c r="N27" s="687"/>
    </row>
    <row r="28" spans="1:14" ht="19.5" customHeight="1">
      <c r="A28" s="1002"/>
      <c r="B28" s="1777"/>
      <c r="C28" s="857" t="s">
        <v>1672</v>
      </c>
      <c r="D28" s="858">
        <v>770.02</v>
      </c>
      <c r="E28" s="858">
        <v>0</v>
      </c>
      <c r="F28" s="858">
        <v>1744.4549999999999</v>
      </c>
      <c r="G28" s="858">
        <v>36</v>
      </c>
      <c r="H28" s="858">
        <v>2550.4749999999999</v>
      </c>
      <c r="I28" s="858">
        <v>0</v>
      </c>
      <c r="J28" s="858">
        <v>1944</v>
      </c>
      <c r="K28" s="858">
        <v>385.39499999999998</v>
      </c>
      <c r="L28" s="859">
        <v>4879.869999999999</v>
      </c>
      <c r="N28" s="687"/>
    </row>
    <row r="29" spans="1:14" ht="19.5" customHeight="1">
      <c r="A29" s="1002"/>
      <c r="B29" s="1778" t="s">
        <v>419</v>
      </c>
      <c r="C29" s="855" t="s">
        <v>413</v>
      </c>
      <c r="D29" s="856">
        <v>0</v>
      </c>
      <c r="E29" s="856">
        <v>0</v>
      </c>
      <c r="F29" s="856">
        <v>0</v>
      </c>
      <c r="G29" s="856">
        <v>40.048000000000002</v>
      </c>
      <c r="H29" s="856">
        <v>40.048000000000002</v>
      </c>
      <c r="I29" s="856">
        <v>0</v>
      </c>
      <c r="J29" s="856">
        <v>0</v>
      </c>
      <c r="K29" s="856">
        <v>5.25</v>
      </c>
      <c r="L29" s="851">
        <v>45.298000000000002</v>
      </c>
      <c r="N29" s="687"/>
    </row>
    <row r="30" spans="1:14" ht="19.5" customHeight="1">
      <c r="A30" s="1002"/>
      <c r="B30" s="1779"/>
      <c r="C30" s="852" t="s">
        <v>414</v>
      </c>
      <c r="D30" s="853">
        <v>0</v>
      </c>
      <c r="E30" s="853">
        <v>0</v>
      </c>
      <c r="F30" s="853">
        <v>0</v>
      </c>
      <c r="G30" s="853">
        <v>0</v>
      </c>
      <c r="H30" s="853">
        <v>0</v>
      </c>
      <c r="I30" s="853">
        <v>0</v>
      </c>
      <c r="J30" s="853">
        <v>0</v>
      </c>
      <c r="K30" s="853">
        <v>24.869999999999997</v>
      </c>
      <c r="L30" s="854">
        <v>24.869999999999997</v>
      </c>
      <c r="N30" s="687"/>
    </row>
    <row r="31" spans="1:14" ht="19.5" customHeight="1">
      <c r="A31" s="1002"/>
      <c r="B31" s="1779"/>
      <c r="C31" s="855" t="s">
        <v>415</v>
      </c>
      <c r="D31" s="856">
        <v>0</v>
      </c>
      <c r="E31" s="856">
        <v>0</v>
      </c>
      <c r="F31" s="856">
        <v>0</v>
      </c>
      <c r="G31" s="856">
        <v>0</v>
      </c>
      <c r="H31" s="856">
        <v>0</v>
      </c>
      <c r="I31" s="856">
        <v>0</v>
      </c>
      <c r="J31" s="856">
        <v>0</v>
      </c>
      <c r="K31" s="856">
        <v>5.0999999999999996</v>
      </c>
      <c r="L31" s="851">
        <v>5.0999999999999996</v>
      </c>
      <c r="N31" s="687"/>
    </row>
    <row r="32" spans="1:14" ht="19.5" customHeight="1">
      <c r="A32" s="1002"/>
      <c r="B32" s="1780"/>
      <c r="C32" s="857" t="s">
        <v>1672</v>
      </c>
      <c r="D32" s="858">
        <v>0</v>
      </c>
      <c r="E32" s="858">
        <v>0</v>
      </c>
      <c r="F32" s="858">
        <v>0</v>
      </c>
      <c r="G32" s="858">
        <v>40.048000000000002</v>
      </c>
      <c r="H32" s="858">
        <v>40.048000000000002</v>
      </c>
      <c r="I32" s="858">
        <v>0</v>
      </c>
      <c r="J32" s="858">
        <v>0</v>
      </c>
      <c r="K32" s="858">
        <v>35.22</v>
      </c>
      <c r="L32" s="859">
        <v>75.268000000000001</v>
      </c>
      <c r="N32" s="687"/>
    </row>
    <row r="33" spans="1:14" ht="19.5" customHeight="1">
      <c r="A33" s="1002"/>
      <c r="B33" s="1781" t="s">
        <v>420</v>
      </c>
      <c r="C33" s="855" t="s">
        <v>413</v>
      </c>
      <c r="D33" s="856">
        <v>65931.5</v>
      </c>
      <c r="E33" s="856">
        <v>1150</v>
      </c>
      <c r="F33" s="856">
        <v>7087.3549999999996</v>
      </c>
      <c r="G33" s="856">
        <v>236.00800000000001</v>
      </c>
      <c r="H33" s="856">
        <v>74404.862999999998</v>
      </c>
      <c r="I33" s="856">
        <v>0</v>
      </c>
      <c r="J33" s="856">
        <v>27069.5</v>
      </c>
      <c r="K33" s="856">
        <v>2401.2719999999999</v>
      </c>
      <c r="L33" s="851">
        <v>103875.63499999999</v>
      </c>
      <c r="N33" s="687"/>
    </row>
    <row r="34" spans="1:14" ht="19.5" customHeight="1">
      <c r="A34" s="1002"/>
      <c r="B34" s="1777"/>
      <c r="C34" s="852" t="s">
        <v>414</v>
      </c>
      <c r="D34" s="853">
        <v>74173</v>
      </c>
      <c r="E34" s="853">
        <v>1830</v>
      </c>
      <c r="F34" s="853">
        <v>10598.743999999999</v>
      </c>
      <c r="G34" s="853">
        <v>273.70100000000002</v>
      </c>
      <c r="H34" s="853">
        <v>86875.445000000007</v>
      </c>
      <c r="I34" s="853">
        <v>0</v>
      </c>
      <c r="J34" s="853">
        <v>3606</v>
      </c>
      <c r="K34" s="853">
        <v>92921.93299999999</v>
      </c>
      <c r="L34" s="854">
        <v>183403.378</v>
      </c>
      <c r="M34" s="687"/>
      <c r="N34" s="687"/>
    </row>
    <row r="35" spans="1:14" ht="19.5" customHeight="1">
      <c r="A35" s="1002"/>
      <c r="B35" s="1777"/>
      <c r="C35" s="855" t="s">
        <v>415</v>
      </c>
      <c r="D35" s="856">
        <v>61900</v>
      </c>
      <c r="E35" s="856">
        <v>3640.0000000000005</v>
      </c>
      <c r="F35" s="856">
        <v>7237.9100000000017</v>
      </c>
      <c r="G35" s="856">
        <v>0</v>
      </c>
      <c r="H35" s="856">
        <v>72777.91</v>
      </c>
      <c r="I35" s="856">
        <v>6780</v>
      </c>
      <c r="J35" s="856">
        <v>15646.720000000003</v>
      </c>
      <c r="K35" s="856">
        <v>1632.2999999999997</v>
      </c>
      <c r="L35" s="851">
        <v>96836.930000000008</v>
      </c>
      <c r="M35" s="687"/>
      <c r="N35" s="687"/>
    </row>
    <row r="36" spans="1:14" ht="19.5" customHeight="1" thickBot="1">
      <c r="A36" s="1002"/>
      <c r="B36" s="1782"/>
      <c r="C36" s="860" t="s">
        <v>406</v>
      </c>
      <c r="D36" s="861">
        <v>202004.5</v>
      </c>
      <c r="E36" s="861">
        <v>6620</v>
      </c>
      <c r="F36" s="861">
        <v>24924.008999999998</v>
      </c>
      <c r="G36" s="861">
        <v>509.70900000000006</v>
      </c>
      <c r="H36" s="861">
        <v>234058.21800000002</v>
      </c>
      <c r="I36" s="861">
        <v>6780</v>
      </c>
      <c r="J36" s="861">
        <v>46322.22</v>
      </c>
      <c r="K36" s="861">
        <v>96955.50499999999</v>
      </c>
      <c r="L36" s="862">
        <v>384115.94299999997</v>
      </c>
      <c r="M36" s="687"/>
      <c r="N36" s="687"/>
    </row>
    <row r="37" spans="1:14" ht="19.5" customHeight="1" thickTop="1">
      <c r="A37" s="1002"/>
      <c r="B37" s="863" t="s">
        <v>1677</v>
      </c>
      <c r="C37" s="864"/>
      <c r="D37" s="865"/>
      <c r="E37" s="865"/>
      <c r="F37" s="865"/>
      <c r="G37" s="865"/>
      <c r="H37" s="866"/>
      <c r="I37" s="866"/>
      <c r="J37" s="866"/>
      <c r="K37" s="865"/>
      <c r="L37" s="865"/>
      <c r="M37" s="687"/>
      <c r="N37" s="687"/>
    </row>
    <row r="38" spans="1:14" ht="19.5" customHeight="1">
      <c r="A38" s="1002"/>
      <c r="B38" s="1458" t="s">
        <v>1678</v>
      </c>
      <c r="C38" s="1818" t="s">
        <v>1679</v>
      </c>
      <c r="D38" s="1818"/>
      <c r="E38" s="1818"/>
      <c r="F38" s="1818"/>
      <c r="G38" s="1818"/>
      <c r="H38" s="1818"/>
      <c r="I38" s="1818"/>
      <c r="J38" s="1818"/>
      <c r="K38" s="1818"/>
      <c r="L38" s="1818"/>
      <c r="M38" s="688"/>
      <c r="N38" s="689"/>
    </row>
    <row r="39" spans="1:14" ht="19.5" customHeight="1">
      <c r="A39" s="1002"/>
      <c r="B39" s="1459" t="s">
        <v>1680</v>
      </c>
      <c r="C39" s="1812" t="s">
        <v>1964</v>
      </c>
      <c r="D39" s="1812"/>
      <c r="E39" s="1812"/>
      <c r="F39" s="1812"/>
      <c r="G39" s="1812"/>
      <c r="H39" s="1812"/>
      <c r="I39" s="1812"/>
      <c r="J39" s="1812"/>
      <c r="K39" s="1812"/>
      <c r="L39" s="1812"/>
      <c r="M39" s="688"/>
    </row>
    <row r="40" spans="1:14" ht="19.5" customHeight="1">
      <c r="A40" s="1002"/>
      <c r="B40" s="212"/>
      <c r="C40" s="212" t="s">
        <v>1681</v>
      </c>
      <c r="D40" s="212"/>
      <c r="E40" s="212"/>
      <c r="F40" s="212"/>
      <c r="G40" s="212"/>
      <c r="H40" s="212"/>
      <c r="I40" s="212"/>
      <c r="J40" s="212"/>
      <c r="K40" s="1460"/>
      <c r="L40" s="1460"/>
    </row>
    <row r="41" spans="1:14" ht="19.5" customHeight="1">
      <c r="A41" s="1002"/>
      <c r="B41" s="212"/>
      <c r="C41" s="1458" t="s">
        <v>1965</v>
      </c>
      <c r="D41" s="212"/>
      <c r="E41" s="212"/>
      <c r="F41" s="212"/>
      <c r="G41" s="212"/>
      <c r="H41" s="212"/>
      <c r="I41" s="212"/>
      <c r="J41" s="212"/>
      <c r="K41" s="1458"/>
      <c r="L41" s="1460" t="s">
        <v>426</v>
      </c>
    </row>
    <row r="42" spans="1:14" ht="19.5" customHeight="1">
      <c r="A42" s="1002"/>
      <c r="B42" s="248"/>
      <c r="C42" s="1819" t="s">
        <v>1682</v>
      </c>
      <c r="D42" s="1821" t="s">
        <v>1683</v>
      </c>
      <c r="E42" s="1823" t="s">
        <v>1684</v>
      </c>
      <c r="F42" s="1824"/>
      <c r="G42" s="1824"/>
      <c r="H42" s="1820"/>
      <c r="I42" s="1821" t="s">
        <v>1685</v>
      </c>
      <c r="J42" s="1825" t="s">
        <v>1686</v>
      </c>
      <c r="K42" s="1461"/>
      <c r="L42" s="1405"/>
    </row>
    <row r="43" spans="1:14" ht="19.5" customHeight="1">
      <c r="A43" s="1002"/>
      <c r="B43" s="248"/>
      <c r="C43" s="1820"/>
      <c r="D43" s="1822"/>
      <c r="E43" s="1827" t="s">
        <v>1687</v>
      </c>
      <c r="F43" s="1787"/>
      <c r="G43" s="1828" t="s">
        <v>1688</v>
      </c>
      <c r="H43" s="1787"/>
      <c r="I43" s="1822"/>
      <c r="J43" s="1826"/>
      <c r="K43" s="1461"/>
      <c r="L43" s="1405"/>
    </row>
    <row r="44" spans="1:14" ht="19.5" customHeight="1">
      <c r="A44" s="1002"/>
      <c r="B44" s="248"/>
      <c r="C44" s="1092">
        <v>4793.8050000000003</v>
      </c>
      <c r="D44" s="867">
        <v>39486.65</v>
      </c>
      <c r="E44" s="1814">
        <v>10170.919999999998</v>
      </c>
      <c r="F44" s="1815"/>
      <c r="G44" s="1816">
        <v>168.64</v>
      </c>
      <c r="H44" s="1815"/>
      <c r="I44" s="868">
        <v>42335.490000000005</v>
      </c>
      <c r="J44" s="1091">
        <v>96955.505000000005</v>
      </c>
      <c r="K44" s="1461"/>
      <c r="L44" s="1405"/>
      <c r="M44" s="687"/>
    </row>
    <row r="45" spans="1:14" ht="19.5" customHeight="1">
      <c r="A45" s="1002"/>
      <c r="B45" s="248"/>
      <c r="C45" s="248"/>
      <c r="D45" s="248"/>
      <c r="E45" s="248"/>
      <c r="F45" s="248"/>
      <c r="G45" s="248"/>
      <c r="H45" s="248"/>
      <c r="I45" s="248"/>
      <c r="J45" s="248"/>
      <c r="K45" s="1462"/>
      <c r="L45" s="1462"/>
    </row>
    <row r="46" spans="1:14" ht="19.5" customHeight="1">
      <c r="A46" s="1002"/>
      <c r="B46" s="1463" t="s">
        <v>1689</v>
      </c>
      <c r="C46" s="1809" t="s">
        <v>1690</v>
      </c>
      <c r="D46" s="1811"/>
      <c r="E46" s="1811" t="s">
        <v>1966</v>
      </c>
      <c r="F46" s="1811"/>
      <c r="G46" s="892" t="s">
        <v>1967</v>
      </c>
      <c r="H46" s="1464"/>
      <c r="I46" s="1464"/>
      <c r="J46" s="1461"/>
      <c r="K46" s="1461"/>
      <c r="L46" s="1405"/>
    </row>
    <row r="47" spans="1:14" ht="15.75" customHeight="1">
      <c r="A47" s="1002"/>
      <c r="B47" s="1463"/>
      <c r="C47" s="1024" t="s">
        <v>1968</v>
      </c>
      <c r="D47" s="1405"/>
      <c r="E47" s="1405"/>
      <c r="F47" s="1405"/>
      <c r="G47" s="1405"/>
      <c r="H47" s="1405"/>
      <c r="I47" s="1405"/>
      <c r="J47" s="1405"/>
      <c r="K47" s="1405"/>
      <c r="L47" s="1405"/>
    </row>
    <row r="48" spans="1:14" ht="15.75" customHeight="1">
      <c r="A48" s="1002"/>
      <c r="B48" s="1463"/>
      <c r="C48" s="1817"/>
      <c r="D48" s="1817"/>
      <c r="E48" s="1817"/>
      <c r="F48" s="1817"/>
      <c r="G48" s="1817"/>
      <c r="H48" s="1817"/>
      <c r="I48" s="1817"/>
      <c r="J48" s="1817"/>
      <c r="K48" s="1817"/>
      <c r="L48" s="1817"/>
    </row>
    <row r="49" spans="1:14" ht="16.5" customHeight="1">
      <c r="A49" s="1002"/>
      <c r="B49" s="1463" t="s">
        <v>1691</v>
      </c>
      <c r="C49" s="1809" t="s">
        <v>1692</v>
      </c>
      <c r="D49" s="1811"/>
      <c r="E49" s="1811" t="s">
        <v>1966</v>
      </c>
      <c r="F49" s="1810"/>
      <c r="G49" s="891" t="s">
        <v>1969</v>
      </c>
      <c r="H49" s="1464"/>
      <c r="I49" s="1464"/>
      <c r="J49" s="1461"/>
      <c r="K49" s="248"/>
      <c r="L49" s="1405"/>
    </row>
    <row r="50" spans="1:14" ht="16.5" customHeight="1">
      <c r="A50" s="1002"/>
      <c r="B50" s="1463"/>
      <c r="C50" s="1812" t="s">
        <v>1970</v>
      </c>
      <c r="D50" s="1812"/>
      <c r="E50" s="1812"/>
      <c r="F50" s="1812"/>
      <c r="G50" s="1812"/>
      <c r="H50" s="1812"/>
      <c r="I50" s="1812"/>
      <c r="J50" s="1812"/>
      <c r="K50" s="1812"/>
      <c r="L50" s="1812"/>
    </row>
    <row r="51" spans="1:14" ht="15.75" customHeight="1">
      <c r="A51" s="1002"/>
      <c r="B51" s="1405"/>
      <c r="C51" s="1812" t="s">
        <v>1971</v>
      </c>
      <c r="D51" s="1812"/>
      <c r="E51" s="1812"/>
      <c r="F51" s="1812"/>
      <c r="G51" s="1812"/>
      <c r="H51" s="1812"/>
      <c r="I51" s="1812"/>
      <c r="J51" s="1812"/>
      <c r="K51" s="1812"/>
      <c r="L51" s="1812"/>
    </row>
    <row r="52" spans="1:14" ht="21" customHeight="1">
      <c r="A52" s="1002"/>
      <c r="B52" s="1405"/>
      <c r="C52" s="1813"/>
      <c r="D52" s="1813"/>
      <c r="E52" s="1813"/>
      <c r="F52" s="1813"/>
      <c r="G52" s="1813"/>
      <c r="H52" s="1813"/>
      <c r="I52" s="1813"/>
      <c r="J52" s="1813"/>
      <c r="K52" s="1813"/>
      <c r="L52" s="1813"/>
    </row>
    <row r="53" spans="1:14" ht="30.75" customHeight="1">
      <c r="A53" s="1002"/>
      <c r="B53" s="1463" t="s">
        <v>1693</v>
      </c>
      <c r="C53" s="1809" t="s">
        <v>1695</v>
      </c>
      <c r="D53" s="1810"/>
      <c r="E53" s="1094" t="s">
        <v>1966</v>
      </c>
      <c r="F53" s="1093" t="s">
        <v>1972</v>
      </c>
      <c r="G53" s="892" t="s">
        <v>1973</v>
      </c>
      <c r="H53" s="1465"/>
      <c r="I53" s="1465"/>
      <c r="J53" s="1465"/>
      <c r="K53" s="1465"/>
      <c r="L53" s="1405"/>
    </row>
    <row r="54" spans="1:14" ht="16.5" customHeight="1">
      <c r="A54" s="1002"/>
      <c r="B54" s="1463"/>
      <c r="C54" s="1466"/>
      <c r="D54" s="1466"/>
      <c r="E54" s="1466"/>
      <c r="F54" s="1466"/>
      <c r="G54" s="1466"/>
      <c r="H54" s="1466"/>
      <c r="I54" s="1466"/>
      <c r="J54" s="1466"/>
      <c r="K54" s="1466"/>
      <c r="L54" s="1466"/>
      <c r="M54" s="688"/>
    </row>
    <row r="55" spans="1:14" ht="16.5" customHeight="1">
      <c r="A55" s="1002"/>
      <c r="B55" s="1463" t="s">
        <v>1694</v>
      </c>
      <c r="C55" s="1809" t="s">
        <v>1974</v>
      </c>
      <c r="D55" s="1810"/>
      <c r="E55" s="1467" t="s">
        <v>1966</v>
      </c>
      <c r="F55" s="1093"/>
      <c r="G55" s="892" t="s">
        <v>1975</v>
      </c>
      <c r="H55" s="1465"/>
      <c r="I55" s="1465"/>
      <c r="J55" s="1465"/>
      <c r="K55" s="1465"/>
      <c r="L55" s="840"/>
      <c r="M55" s="688"/>
    </row>
    <row r="56" spans="1:14" ht="15" customHeight="1">
      <c r="A56" s="1002"/>
      <c r="B56" s="1405"/>
      <c r="C56" s="1405"/>
      <c r="D56" s="1405"/>
      <c r="E56" s="1405"/>
      <c r="F56" s="1405"/>
      <c r="G56" s="1405"/>
      <c r="H56" s="1405"/>
      <c r="I56" s="1405"/>
      <c r="J56" s="1405"/>
      <c r="K56" s="1405"/>
      <c r="L56" s="840"/>
    </row>
    <row r="57" spans="1:14" ht="15" customHeight="1">
      <c r="A57" s="1002"/>
      <c r="B57" s="1468" t="s">
        <v>1976</v>
      </c>
      <c r="C57" s="1809" t="s">
        <v>1977</v>
      </c>
      <c r="D57" s="1810"/>
      <c r="E57" s="1467" t="s">
        <v>1966</v>
      </c>
      <c r="F57" s="1093" t="s">
        <v>1978</v>
      </c>
      <c r="G57" s="892" t="s">
        <v>1979</v>
      </c>
      <c r="H57" s="1405"/>
      <c r="I57" s="1405"/>
      <c r="J57" s="1405"/>
      <c r="K57" s="1405"/>
      <c r="L57" s="840"/>
    </row>
    <row r="58" spans="1:14" ht="15" customHeight="1">
      <c r="A58" s="1002"/>
      <c r="B58" s="1405"/>
      <c r="C58" s="1469"/>
      <c r="D58" s="1469"/>
      <c r="E58" s="1469"/>
      <c r="F58" s="1469"/>
      <c r="G58" s="1469"/>
      <c r="H58" s="1469"/>
      <c r="I58" s="1469"/>
      <c r="J58" s="1469"/>
      <c r="K58" s="1469"/>
      <c r="L58" s="840"/>
    </row>
    <row r="59" spans="1:14" ht="15" customHeight="1">
      <c r="A59" s="1002"/>
      <c r="B59" s="1463" t="s">
        <v>883</v>
      </c>
      <c r="C59" s="871" t="s">
        <v>1696</v>
      </c>
      <c r="D59" s="1469"/>
      <c r="E59" s="1469"/>
      <c r="F59" s="1469"/>
      <c r="G59" s="1469"/>
      <c r="H59" s="1469"/>
      <c r="I59" s="1469"/>
      <c r="J59" s="1469"/>
      <c r="K59" s="1470"/>
      <c r="L59" s="840"/>
    </row>
    <row r="60" spans="1:14" ht="15" customHeight="1">
      <c r="A60" s="1002"/>
      <c r="B60" s="123"/>
      <c r="C60" s="962" t="s">
        <v>1980</v>
      </c>
      <c r="D60" s="1025"/>
      <c r="E60" s="1025"/>
      <c r="F60" s="1025"/>
      <c r="G60" s="1025"/>
      <c r="H60" s="1005"/>
      <c r="I60" s="1005"/>
      <c r="J60" s="1005"/>
      <c r="K60" s="1005"/>
      <c r="L60" s="1405"/>
    </row>
    <row r="61" spans="1:14" ht="15" customHeight="1">
      <c r="A61" s="1002"/>
      <c r="B61" s="870"/>
      <c r="C61" s="871" t="s">
        <v>1697</v>
      </c>
      <c r="D61" s="871"/>
      <c r="E61" s="871"/>
      <c r="F61" s="871"/>
      <c r="G61" s="871"/>
      <c r="H61" s="871"/>
      <c r="I61" s="871"/>
      <c r="J61" s="871"/>
      <c r="K61" s="871"/>
      <c r="L61" s="871"/>
    </row>
    <row r="62" spans="1:14" ht="15" customHeight="1">
      <c r="A62" s="1002"/>
      <c r="B62" s="871"/>
      <c r="C62" s="962" t="s">
        <v>1698</v>
      </c>
      <c r="D62" s="1405"/>
      <c r="E62" s="1405"/>
      <c r="F62" s="1405"/>
      <c r="G62" s="1405"/>
      <c r="H62" s="1405"/>
      <c r="I62" s="1405"/>
      <c r="J62" s="1405"/>
      <c r="K62" s="1405"/>
      <c r="L62" s="871"/>
    </row>
    <row r="63" spans="1:14">
      <c r="A63" s="1002"/>
      <c r="B63" s="1089"/>
      <c r="C63" s="1089"/>
      <c r="D63" s="871"/>
      <c r="E63" s="871"/>
      <c r="F63" s="871"/>
      <c r="G63" s="871"/>
      <c r="H63" s="871"/>
      <c r="I63" s="871"/>
      <c r="J63" s="871"/>
      <c r="K63" s="871"/>
      <c r="L63" s="1089"/>
      <c r="M63" s="688"/>
      <c r="N63" s="688"/>
    </row>
    <row r="64" spans="1:14" ht="19.5" customHeight="1">
      <c r="A64" s="1002"/>
      <c r="B64" s="1089"/>
      <c r="C64" s="1089"/>
      <c r="D64" s="871"/>
      <c r="E64" s="871"/>
      <c r="F64" s="871"/>
      <c r="G64" s="871"/>
      <c r="H64" s="871"/>
      <c r="I64" s="871"/>
      <c r="J64" s="871"/>
      <c r="K64" s="871"/>
      <c r="L64" s="1089"/>
    </row>
    <row r="65" spans="1:15" ht="19.5" customHeight="1">
      <c r="A65" s="1002"/>
      <c r="B65" s="195"/>
      <c r="C65" s="195"/>
      <c r="D65" s="195"/>
      <c r="E65" s="195"/>
      <c r="F65" s="195"/>
      <c r="G65" s="195"/>
      <c r="H65" s="195"/>
      <c r="I65" s="195"/>
      <c r="J65" s="195"/>
      <c r="K65" s="1026"/>
      <c r="L65" s="1022"/>
    </row>
    <row r="66" spans="1:15" ht="51" customHeight="1">
      <c r="A66" s="1002"/>
      <c r="B66" s="1807" t="s">
        <v>1699</v>
      </c>
      <c r="C66" s="1807"/>
      <c r="D66" s="1807"/>
      <c r="E66" s="1807"/>
      <c r="F66" s="1807"/>
      <c r="G66" s="1807"/>
      <c r="H66" s="1807"/>
      <c r="I66" s="1807"/>
      <c r="J66" s="1807"/>
      <c r="K66" s="1807"/>
      <c r="L66" s="1807"/>
    </row>
    <row r="67" spans="1:15" ht="19.5" customHeight="1">
      <c r="A67" s="1002"/>
      <c r="B67" s="1807"/>
      <c r="C67" s="1807"/>
      <c r="D67" s="1807"/>
      <c r="E67" s="1807"/>
      <c r="F67" s="1807"/>
      <c r="G67" s="1807"/>
      <c r="H67" s="1807"/>
      <c r="I67" s="1807"/>
      <c r="J67" s="1807"/>
      <c r="K67" s="1807"/>
      <c r="L67" s="1807"/>
    </row>
    <row r="68" spans="1:15" ht="19.5" customHeight="1">
      <c r="A68" s="1002"/>
      <c r="B68" s="1807"/>
      <c r="C68" s="1807"/>
      <c r="D68" s="1807"/>
      <c r="E68" s="1807"/>
      <c r="F68" s="1807"/>
      <c r="G68" s="1807"/>
      <c r="H68" s="1807"/>
      <c r="I68" s="1807"/>
      <c r="J68" s="1807"/>
      <c r="K68" s="1807"/>
      <c r="L68" s="1807"/>
    </row>
    <row r="69" spans="1:15" ht="19.5" customHeight="1">
      <c r="A69" s="1002"/>
      <c r="B69" s="1783" t="s">
        <v>1700</v>
      </c>
      <c r="C69" s="1783"/>
      <c r="D69" s="1783"/>
      <c r="E69" s="1783"/>
      <c r="F69" s="1783"/>
      <c r="G69" s="1783"/>
      <c r="H69" s="1783"/>
      <c r="I69" s="1783"/>
      <c r="J69" s="1783"/>
      <c r="K69" s="1783"/>
      <c r="L69" s="1783"/>
    </row>
    <row r="70" spans="1:15" ht="19.5" customHeight="1">
      <c r="A70" s="1002"/>
      <c r="B70" s="1471" t="s">
        <v>1584</v>
      </c>
      <c r="C70" s="1471"/>
      <c r="D70" s="1471"/>
      <c r="E70" s="1471"/>
      <c r="F70" s="1472"/>
      <c r="G70" s="1473"/>
      <c r="H70" s="1472"/>
      <c r="I70" s="1472"/>
      <c r="J70" s="1472"/>
      <c r="K70" s="1784" t="s">
        <v>1963</v>
      </c>
      <c r="L70" s="1784"/>
      <c r="M70" s="686" t="s">
        <v>1029</v>
      </c>
      <c r="N70" s="692" t="s">
        <v>1030</v>
      </c>
    </row>
    <row r="71" spans="1:15" ht="19.5" customHeight="1">
      <c r="A71" s="1002"/>
      <c r="B71" s="1785" t="s">
        <v>1603</v>
      </c>
      <c r="C71" s="1788" t="s">
        <v>1668</v>
      </c>
      <c r="D71" s="1791" t="s">
        <v>1669</v>
      </c>
      <c r="E71" s="1792"/>
      <c r="F71" s="1792"/>
      <c r="G71" s="1792"/>
      <c r="H71" s="1792"/>
      <c r="I71" s="1792"/>
      <c r="J71" s="1792"/>
      <c r="K71" s="1793"/>
      <c r="L71" s="1794" t="s">
        <v>403</v>
      </c>
    </row>
    <row r="72" spans="1:15" ht="19.5" customHeight="1">
      <c r="A72" s="1002"/>
      <c r="B72" s="1786"/>
      <c r="C72" s="1789"/>
      <c r="D72" s="1797" t="s">
        <v>405</v>
      </c>
      <c r="E72" s="1798"/>
      <c r="F72" s="1798"/>
      <c r="G72" s="1798"/>
      <c r="H72" s="1798"/>
      <c r="I72" s="1799" t="s">
        <v>411</v>
      </c>
      <c r="J72" s="1800" t="s">
        <v>407</v>
      </c>
      <c r="K72" s="1802" t="s">
        <v>1701</v>
      </c>
      <c r="L72" s="1795"/>
    </row>
    <row r="73" spans="1:15" ht="19.5" customHeight="1">
      <c r="A73" s="1002"/>
      <c r="B73" s="1787"/>
      <c r="C73" s="1790"/>
      <c r="D73" s="1090" t="s">
        <v>408</v>
      </c>
      <c r="E73" s="1004" t="s">
        <v>888</v>
      </c>
      <c r="F73" s="1004" t="s">
        <v>409</v>
      </c>
      <c r="G73" s="1004" t="s">
        <v>410</v>
      </c>
      <c r="H73" s="1004" t="s">
        <v>406</v>
      </c>
      <c r="I73" s="1797"/>
      <c r="J73" s="1801"/>
      <c r="K73" s="1803"/>
      <c r="L73" s="1796"/>
    </row>
    <row r="74" spans="1:15" ht="19.5" customHeight="1">
      <c r="A74" s="1002"/>
      <c r="B74" s="1777" t="s">
        <v>487</v>
      </c>
      <c r="C74" s="849" t="s">
        <v>413</v>
      </c>
      <c r="D74" s="850">
        <v>0</v>
      </c>
      <c r="E74" s="850">
        <v>0</v>
      </c>
      <c r="F74" s="850">
        <v>1800.4</v>
      </c>
      <c r="G74" s="850">
        <v>0</v>
      </c>
      <c r="H74" s="850">
        <v>1800.4</v>
      </c>
      <c r="I74" s="850">
        <v>0</v>
      </c>
      <c r="J74" s="850">
        <v>0</v>
      </c>
      <c r="K74" s="850">
        <v>0</v>
      </c>
      <c r="L74" s="851">
        <v>1800.4</v>
      </c>
    </row>
    <row r="75" spans="1:15" ht="19.5" customHeight="1">
      <c r="A75" s="1002"/>
      <c r="B75" s="1777"/>
      <c r="C75" s="852" t="s">
        <v>414</v>
      </c>
      <c r="D75" s="853">
        <v>878.22</v>
      </c>
      <c r="E75" s="853">
        <v>0</v>
      </c>
      <c r="F75" s="853">
        <v>108</v>
      </c>
      <c r="G75" s="853">
        <v>0</v>
      </c>
      <c r="H75" s="853">
        <v>986.22</v>
      </c>
      <c r="I75" s="853">
        <v>0</v>
      </c>
      <c r="J75" s="853">
        <v>0</v>
      </c>
      <c r="K75" s="853">
        <v>244.97</v>
      </c>
      <c r="L75" s="854">
        <v>1231.19</v>
      </c>
      <c r="M75" s="686">
        <v>4785</v>
      </c>
      <c r="N75" s="687">
        <v>-639.34540600000037</v>
      </c>
      <c r="O75" s="687"/>
    </row>
    <row r="76" spans="1:15" ht="19.5" customHeight="1">
      <c r="A76" s="1002"/>
      <c r="B76" s="1777"/>
      <c r="C76" s="855" t="s">
        <v>415</v>
      </c>
      <c r="D76" s="856">
        <v>3527.2945999999997</v>
      </c>
      <c r="E76" s="856">
        <v>0</v>
      </c>
      <c r="F76" s="856">
        <v>207.01443399999999</v>
      </c>
      <c r="G76" s="856">
        <v>0</v>
      </c>
      <c r="H76" s="856">
        <v>3734.3090339999999</v>
      </c>
      <c r="I76" s="856">
        <v>102.82799999999999</v>
      </c>
      <c r="J76" s="856">
        <v>723.09436000000005</v>
      </c>
      <c r="K76" s="856">
        <v>0</v>
      </c>
      <c r="L76" s="851">
        <v>4560.2313940000004</v>
      </c>
    </row>
    <row r="77" spans="1:15" ht="19.5" customHeight="1">
      <c r="A77" s="1002"/>
      <c r="B77" s="1777"/>
      <c r="C77" s="857" t="s">
        <v>1702</v>
      </c>
      <c r="D77" s="858">
        <v>4405.5145999999995</v>
      </c>
      <c r="E77" s="858">
        <v>0</v>
      </c>
      <c r="F77" s="858">
        <v>2115.4144340000003</v>
      </c>
      <c r="G77" s="858">
        <v>0</v>
      </c>
      <c r="H77" s="858">
        <v>6520.9290339999998</v>
      </c>
      <c r="I77" s="858">
        <v>102.82799999999999</v>
      </c>
      <c r="J77" s="858">
        <v>723.09436000000005</v>
      </c>
      <c r="K77" s="858">
        <v>244.97</v>
      </c>
      <c r="L77" s="859">
        <v>7591.8213940000005</v>
      </c>
    </row>
    <row r="78" spans="1:15" ht="19.5" customHeight="1">
      <c r="A78" s="1002"/>
      <c r="B78" s="1778" t="s">
        <v>502</v>
      </c>
      <c r="C78" s="855" t="s">
        <v>413</v>
      </c>
      <c r="D78" s="856">
        <v>2510</v>
      </c>
      <c r="E78" s="856">
        <v>0</v>
      </c>
      <c r="F78" s="856">
        <v>150</v>
      </c>
      <c r="G78" s="856">
        <v>0</v>
      </c>
      <c r="H78" s="856">
        <v>2660</v>
      </c>
      <c r="I78" s="856">
        <v>0</v>
      </c>
      <c r="J78" s="856">
        <v>200</v>
      </c>
      <c r="K78" s="856">
        <v>69.3</v>
      </c>
      <c r="L78" s="851">
        <v>2929.3</v>
      </c>
    </row>
    <row r="79" spans="1:15" ht="19.5" customHeight="1">
      <c r="A79" s="1002"/>
      <c r="B79" s="1779"/>
      <c r="C79" s="852" t="s">
        <v>414</v>
      </c>
      <c r="D79" s="853">
        <v>4561.78</v>
      </c>
      <c r="E79" s="853">
        <v>0</v>
      </c>
      <c r="F79" s="853">
        <v>0</v>
      </c>
      <c r="G79" s="853">
        <v>0</v>
      </c>
      <c r="H79" s="853">
        <v>4561.78</v>
      </c>
      <c r="I79" s="853">
        <v>0</v>
      </c>
      <c r="J79" s="853">
        <v>539</v>
      </c>
      <c r="K79" s="853">
        <v>735.93000000000006</v>
      </c>
      <c r="L79" s="854">
        <v>5836.71</v>
      </c>
      <c r="M79" s="686">
        <v>2541</v>
      </c>
      <c r="N79" s="687">
        <v>58.976918999999725</v>
      </c>
      <c r="O79" s="687"/>
    </row>
    <row r="80" spans="1:15" ht="19.5" customHeight="1">
      <c r="A80" s="1002"/>
      <c r="B80" s="1779"/>
      <c r="C80" s="855" t="s">
        <v>415</v>
      </c>
      <c r="D80" s="856">
        <v>1564.7950000000001</v>
      </c>
      <c r="E80" s="856">
        <v>0</v>
      </c>
      <c r="F80" s="856">
        <v>535.61430899999993</v>
      </c>
      <c r="G80" s="856">
        <v>0</v>
      </c>
      <c r="H80" s="856">
        <v>2100.4093090000001</v>
      </c>
      <c r="I80" s="856">
        <v>100.93600000000001</v>
      </c>
      <c r="J80" s="856">
        <v>1579.5189399999999</v>
      </c>
      <c r="K80" s="856">
        <v>5</v>
      </c>
      <c r="L80" s="851">
        <v>3785.8642490000002</v>
      </c>
    </row>
    <row r="81" spans="1:15" ht="19.5" customHeight="1">
      <c r="A81" s="1002"/>
      <c r="B81" s="1780"/>
      <c r="C81" s="857" t="s">
        <v>1702</v>
      </c>
      <c r="D81" s="858">
        <v>8636.5750000000007</v>
      </c>
      <c r="E81" s="858">
        <v>0</v>
      </c>
      <c r="F81" s="858">
        <v>685.61430899999993</v>
      </c>
      <c r="G81" s="858">
        <v>0</v>
      </c>
      <c r="H81" s="858">
        <v>9322.1893089999994</v>
      </c>
      <c r="I81" s="858">
        <v>100.93600000000001</v>
      </c>
      <c r="J81" s="858">
        <v>2318.5189399999999</v>
      </c>
      <c r="K81" s="858">
        <v>810.23</v>
      </c>
      <c r="L81" s="859">
        <v>12551.874249</v>
      </c>
    </row>
    <row r="82" spans="1:15" ht="19.5" customHeight="1">
      <c r="A82" s="1002"/>
      <c r="B82" s="1777" t="s">
        <v>1703</v>
      </c>
      <c r="C82" s="849" t="s">
        <v>413</v>
      </c>
      <c r="D82" s="850">
        <v>0</v>
      </c>
      <c r="E82" s="850">
        <v>0</v>
      </c>
      <c r="F82" s="850">
        <v>0</v>
      </c>
      <c r="G82" s="850">
        <v>0</v>
      </c>
      <c r="H82" s="850">
        <v>0</v>
      </c>
      <c r="I82" s="850">
        <v>0</v>
      </c>
      <c r="J82" s="850">
        <v>805.6</v>
      </c>
      <c r="K82" s="850">
        <v>256.61</v>
      </c>
      <c r="L82" s="851">
        <v>1062.21</v>
      </c>
    </row>
    <row r="83" spans="1:15" ht="19.5" customHeight="1">
      <c r="A83" s="1002"/>
      <c r="B83" s="1777"/>
      <c r="C83" s="852" t="s">
        <v>414</v>
      </c>
      <c r="D83" s="853">
        <v>0</v>
      </c>
      <c r="E83" s="853">
        <v>0</v>
      </c>
      <c r="F83" s="853">
        <v>0</v>
      </c>
      <c r="G83" s="853">
        <v>0</v>
      </c>
      <c r="H83" s="853">
        <v>0</v>
      </c>
      <c r="I83" s="853">
        <v>0</v>
      </c>
      <c r="J83" s="853">
        <v>894.4</v>
      </c>
      <c r="K83" s="853">
        <v>733.74</v>
      </c>
      <c r="L83" s="854">
        <v>1628.1399999999999</v>
      </c>
      <c r="M83" s="686">
        <v>1467</v>
      </c>
      <c r="N83" s="687">
        <v>31.240806000000248</v>
      </c>
      <c r="O83" s="687"/>
    </row>
    <row r="84" spans="1:15" ht="19.5" customHeight="1">
      <c r="A84" s="1002"/>
      <c r="B84" s="1777"/>
      <c r="C84" s="855" t="s">
        <v>415</v>
      </c>
      <c r="D84" s="856">
        <v>151.68699999999998</v>
      </c>
      <c r="E84" s="856">
        <v>0</v>
      </c>
      <c r="F84" s="856">
        <v>62.011943999999993</v>
      </c>
      <c r="G84" s="856">
        <v>0</v>
      </c>
      <c r="H84" s="856">
        <v>213.69894399999998</v>
      </c>
      <c r="I84" s="856">
        <v>28.952000000000002</v>
      </c>
      <c r="J84" s="856">
        <v>1223.8798620000002</v>
      </c>
      <c r="K84" s="856">
        <v>0</v>
      </c>
      <c r="L84" s="851">
        <v>1466.5308060000002</v>
      </c>
    </row>
    <row r="85" spans="1:15" ht="19.5" customHeight="1">
      <c r="A85" s="1002"/>
      <c r="B85" s="1777"/>
      <c r="C85" s="857" t="s">
        <v>1702</v>
      </c>
      <c r="D85" s="858">
        <v>151.68699999999998</v>
      </c>
      <c r="E85" s="858">
        <v>0</v>
      </c>
      <c r="F85" s="858">
        <v>62.011943999999993</v>
      </c>
      <c r="G85" s="858">
        <v>0</v>
      </c>
      <c r="H85" s="858">
        <v>213.69894399999998</v>
      </c>
      <c r="I85" s="858">
        <v>28.952000000000002</v>
      </c>
      <c r="J85" s="858">
        <v>2923.8798620000002</v>
      </c>
      <c r="K85" s="858">
        <v>990.35</v>
      </c>
      <c r="L85" s="859">
        <v>4156.8808060000001</v>
      </c>
    </row>
    <row r="86" spans="1:15" ht="19.5" customHeight="1">
      <c r="A86" s="1002"/>
      <c r="B86" s="1778" t="s">
        <v>1704</v>
      </c>
      <c r="C86" s="855" t="s">
        <v>413</v>
      </c>
      <c r="D86" s="856">
        <v>0</v>
      </c>
      <c r="E86" s="856">
        <v>0</v>
      </c>
      <c r="F86" s="856">
        <v>175</v>
      </c>
      <c r="G86" s="856">
        <v>0</v>
      </c>
      <c r="H86" s="856">
        <v>175</v>
      </c>
      <c r="I86" s="856">
        <v>0</v>
      </c>
      <c r="J86" s="856">
        <v>1230</v>
      </c>
      <c r="K86" s="856">
        <v>130.97999999999999</v>
      </c>
      <c r="L86" s="851">
        <v>1535.98</v>
      </c>
    </row>
    <row r="87" spans="1:15" ht="19.5" customHeight="1">
      <c r="A87" s="1002"/>
      <c r="B87" s="1779"/>
      <c r="C87" s="852" t="s">
        <v>414</v>
      </c>
      <c r="D87" s="853">
        <v>0</v>
      </c>
      <c r="E87" s="853">
        <v>0</v>
      </c>
      <c r="F87" s="853">
        <v>0</v>
      </c>
      <c r="G87" s="853">
        <v>0</v>
      </c>
      <c r="H87" s="853">
        <v>0</v>
      </c>
      <c r="I87" s="853">
        <v>0</v>
      </c>
      <c r="J87" s="853">
        <v>0</v>
      </c>
      <c r="K87" s="853">
        <v>80.05</v>
      </c>
      <c r="L87" s="854">
        <v>80.05</v>
      </c>
      <c r="M87" s="686">
        <v>1678</v>
      </c>
      <c r="N87" s="687">
        <v>117.33029399999987</v>
      </c>
      <c r="O87" s="687"/>
    </row>
    <row r="88" spans="1:15" ht="19.5" customHeight="1">
      <c r="A88" s="1002"/>
      <c r="B88" s="1779"/>
      <c r="C88" s="855" t="s">
        <v>415</v>
      </c>
      <c r="D88" s="856">
        <v>577.14100000000008</v>
      </c>
      <c r="E88" s="856">
        <v>0</v>
      </c>
      <c r="F88" s="856">
        <v>129.07488999999998</v>
      </c>
      <c r="G88" s="856">
        <v>0</v>
      </c>
      <c r="H88" s="856">
        <v>706.21589000000006</v>
      </c>
      <c r="I88" s="856">
        <v>67.97999999999999</v>
      </c>
      <c r="J88" s="856">
        <v>1091.882404</v>
      </c>
      <c r="K88" s="856">
        <v>0</v>
      </c>
      <c r="L88" s="851">
        <v>1866.0782939999999</v>
      </c>
    </row>
    <row r="89" spans="1:15" ht="19.5" customHeight="1">
      <c r="A89" s="1002"/>
      <c r="B89" s="1780"/>
      <c r="C89" s="857" t="s">
        <v>1702</v>
      </c>
      <c r="D89" s="858">
        <v>577.14100000000008</v>
      </c>
      <c r="E89" s="858">
        <v>0</v>
      </c>
      <c r="F89" s="858">
        <v>304.07488999999998</v>
      </c>
      <c r="G89" s="858">
        <v>0</v>
      </c>
      <c r="H89" s="858">
        <v>881.21589000000006</v>
      </c>
      <c r="I89" s="858">
        <v>67.97999999999999</v>
      </c>
      <c r="J89" s="858">
        <v>2321.882404</v>
      </c>
      <c r="K89" s="858">
        <v>211.02999999999997</v>
      </c>
      <c r="L89" s="859">
        <v>3482.1082939999997</v>
      </c>
    </row>
    <row r="90" spans="1:15" ht="19.5" customHeight="1">
      <c r="A90" s="1002"/>
      <c r="B90" s="1777" t="s">
        <v>492</v>
      </c>
      <c r="C90" s="849" t="s">
        <v>413</v>
      </c>
      <c r="D90" s="850">
        <v>1760</v>
      </c>
      <c r="E90" s="850">
        <v>0</v>
      </c>
      <c r="F90" s="850">
        <v>150</v>
      </c>
      <c r="G90" s="850">
        <v>0</v>
      </c>
      <c r="H90" s="850">
        <v>1910</v>
      </c>
      <c r="I90" s="850">
        <v>0</v>
      </c>
      <c r="J90" s="850">
        <v>1243.4000000000001</v>
      </c>
      <c r="K90" s="850">
        <v>127.80000000000001</v>
      </c>
      <c r="L90" s="851">
        <v>3281.2</v>
      </c>
    </row>
    <row r="91" spans="1:15" ht="19.5" customHeight="1">
      <c r="A91" s="1002"/>
      <c r="B91" s="1777"/>
      <c r="C91" s="852" t="s">
        <v>414</v>
      </c>
      <c r="D91" s="853">
        <v>5115.5</v>
      </c>
      <c r="E91" s="853">
        <v>0</v>
      </c>
      <c r="F91" s="853">
        <v>0</v>
      </c>
      <c r="G91" s="853">
        <v>0</v>
      </c>
      <c r="H91" s="853">
        <v>5115.5</v>
      </c>
      <c r="I91" s="853">
        <v>0</v>
      </c>
      <c r="J91" s="853">
        <v>288</v>
      </c>
      <c r="K91" s="853">
        <v>1498.5800000000002</v>
      </c>
      <c r="L91" s="854">
        <v>6902.08</v>
      </c>
      <c r="M91" s="686">
        <v>2214</v>
      </c>
      <c r="N91" s="687">
        <v>24.819113000000016</v>
      </c>
      <c r="O91" s="687"/>
    </row>
    <row r="92" spans="1:15" ht="19.5" customHeight="1">
      <c r="A92" s="1002"/>
      <c r="B92" s="1777"/>
      <c r="C92" s="855" t="s">
        <v>415</v>
      </c>
      <c r="D92" s="856">
        <v>1440.0039999999999</v>
      </c>
      <c r="E92" s="856">
        <v>0</v>
      </c>
      <c r="F92" s="856">
        <v>264.00736899999998</v>
      </c>
      <c r="G92" s="856">
        <v>0</v>
      </c>
      <c r="H92" s="856">
        <v>1704.0113689999998</v>
      </c>
      <c r="I92" s="856">
        <v>196.81200000000001</v>
      </c>
      <c r="J92" s="856">
        <v>2277.722154</v>
      </c>
      <c r="K92" s="856">
        <v>0</v>
      </c>
      <c r="L92" s="851">
        <v>4178.5455229999998</v>
      </c>
    </row>
    <row r="93" spans="1:15" ht="19.5" customHeight="1">
      <c r="A93" s="1002"/>
      <c r="B93" s="1777"/>
      <c r="C93" s="857" t="s">
        <v>1702</v>
      </c>
      <c r="D93" s="858">
        <v>8315.5040000000008</v>
      </c>
      <c r="E93" s="858">
        <v>0</v>
      </c>
      <c r="F93" s="858">
        <v>414.00736899999998</v>
      </c>
      <c r="G93" s="858">
        <v>0</v>
      </c>
      <c r="H93" s="858">
        <v>8729.5113689999998</v>
      </c>
      <c r="I93" s="858">
        <v>196.81200000000001</v>
      </c>
      <c r="J93" s="858">
        <v>3809.1221540000001</v>
      </c>
      <c r="K93" s="858">
        <v>1626.38</v>
      </c>
      <c r="L93" s="859">
        <v>14361.825523</v>
      </c>
    </row>
    <row r="94" spans="1:15" ht="19.5" customHeight="1">
      <c r="A94" s="1002"/>
      <c r="B94" s="1778" t="s">
        <v>489</v>
      </c>
      <c r="C94" s="855" t="s">
        <v>413</v>
      </c>
      <c r="D94" s="856">
        <v>6920</v>
      </c>
      <c r="E94" s="856">
        <v>250</v>
      </c>
      <c r="F94" s="856">
        <v>603.79999999999995</v>
      </c>
      <c r="G94" s="856">
        <v>0</v>
      </c>
      <c r="H94" s="856">
        <v>7773.8</v>
      </c>
      <c r="I94" s="856">
        <v>0</v>
      </c>
      <c r="J94" s="856">
        <v>433</v>
      </c>
      <c r="K94" s="856">
        <v>23.85</v>
      </c>
      <c r="L94" s="851">
        <v>8230.65</v>
      </c>
    </row>
    <row r="95" spans="1:15" ht="19.5" customHeight="1">
      <c r="A95" s="1002"/>
      <c r="B95" s="1779"/>
      <c r="C95" s="852" t="s">
        <v>414</v>
      </c>
      <c r="D95" s="853">
        <v>2957</v>
      </c>
      <c r="E95" s="853">
        <v>1080</v>
      </c>
      <c r="F95" s="853">
        <v>0</v>
      </c>
      <c r="G95" s="853">
        <v>0</v>
      </c>
      <c r="H95" s="853">
        <v>4037</v>
      </c>
      <c r="I95" s="853">
        <v>0</v>
      </c>
      <c r="J95" s="853">
        <v>104</v>
      </c>
      <c r="K95" s="853">
        <v>10684.77</v>
      </c>
      <c r="L95" s="854">
        <v>14825.77</v>
      </c>
      <c r="M95" s="686">
        <v>2617</v>
      </c>
      <c r="N95" s="687">
        <v>450.09732099999974</v>
      </c>
      <c r="O95" s="687"/>
    </row>
    <row r="96" spans="1:15" ht="19.5" customHeight="1">
      <c r="A96" s="1002"/>
      <c r="B96" s="1779"/>
      <c r="C96" s="855" t="s">
        <v>415</v>
      </c>
      <c r="D96" s="856">
        <v>1062.5909999999999</v>
      </c>
      <c r="E96" s="856">
        <v>250</v>
      </c>
      <c r="F96" s="856">
        <v>221.10197699999998</v>
      </c>
      <c r="G96" s="856">
        <v>0</v>
      </c>
      <c r="H96" s="856">
        <v>1533.6929769999999</v>
      </c>
      <c r="I96" s="856">
        <v>556.74</v>
      </c>
      <c r="J96" s="856">
        <v>1402.1888040000001</v>
      </c>
      <c r="K96" s="856">
        <v>344</v>
      </c>
      <c r="L96" s="851">
        <v>3836.6217809999998</v>
      </c>
    </row>
    <row r="97" spans="1:15" ht="19.5" customHeight="1">
      <c r="A97" s="1002"/>
      <c r="B97" s="1780"/>
      <c r="C97" s="857" t="s">
        <v>1702</v>
      </c>
      <c r="D97" s="858">
        <v>10939.591</v>
      </c>
      <c r="E97" s="858">
        <v>1580</v>
      </c>
      <c r="F97" s="858">
        <v>824.90197699999999</v>
      </c>
      <c r="G97" s="858">
        <v>0</v>
      </c>
      <c r="H97" s="858">
        <v>13344.492977</v>
      </c>
      <c r="I97" s="858">
        <v>556.74</v>
      </c>
      <c r="J97" s="858">
        <v>1939.1888040000001</v>
      </c>
      <c r="K97" s="858">
        <v>11052.62</v>
      </c>
      <c r="L97" s="859">
        <v>26893.041781</v>
      </c>
    </row>
    <row r="98" spans="1:15" ht="19.5" customHeight="1">
      <c r="A98" s="1002"/>
      <c r="B98" s="1777" t="s">
        <v>626</v>
      </c>
      <c r="C98" s="849" t="s">
        <v>413</v>
      </c>
      <c r="D98" s="850">
        <v>5469</v>
      </c>
      <c r="E98" s="850">
        <v>0</v>
      </c>
      <c r="F98" s="850">
        <v>0</v>
      </c>
      <c r="G98" s="850">
        <v>0</v>
      </c>
      <c r="H98" s="850">
        <v>5469</v>
      </c>
      <c r="I98" s="850">
        <v>0</v>
      </c>
      <c r="J98" s="850">
        <v>724.1</v>
      </c>
      <c r="K98" s="850">
        <v>49.1</v>
      </c>
      <c r="L98" s="851">
        <v>6242.2</v>
      </c>
    </row>
    <row r="99" spans="1:15" ht="19.5" customHeight="1">
      <c r="A99" s="1002"/>
      <c r="B99" s="1777"/>
      <c r="C99" s="852" t="s">
        <v>414</v>
      </c>
      <c r="D99" s="853">
        <v>8814.33</v>
      </c>
      <c r="E99" s="853">
        <v>0</v>
      </c>
      <c r="F99" s="853">
        <v>0</v>
      </c>
      <c r="G99" s="853">
        <v>0</v>
      </c>
      <c r="H99" s="853">
        <v>8814.33</v>
      </c>
      <c r="I99" s="853">
        <v>0</v>
      </c>
      <c r="J99" s="853">
        <v>842.4</v>
      </c>
      <c r="K99" s="853">
        <v>3927.54</v>
      </c>
      <c r="L99" s="854">
        <v>13584.27</v>
      </c>
      <c r="M99" s="686">
        <v>5671</v>
      </c>
      <c r="N99" s="687">
        <v>796.89204299999983</v>
      </c>
      <c r="O99" s="687"/>
    </row>
    <row r="100" spans="1:15" ht="19.5" customHeight="1">
      <c r="A100" s="1002"/>
      <c r="B100" s="1777"/>
      <c r="C100" s="855" t="s">
        <v>415</v>
      </c>
      <c r="D100" s="856">
        <v>5470.5113999999994</v>
      </c>
      <c r="E100" s="856">
        <v>0</v>
      </c>
      <c r="F100" s="856">
        <v>549.49237099999993</v>
      </c>
      <c r="G100" s="856">
        <v>0</v>
      </c>
      <c r="H100" s="856">
        <v>6020.0037709999997</v>
      </c>
      <c r="I100" s="856">
        <v>289.476</v>
      </c>
      <c r="J100" s="856">
        <v>1857.5322719999999</v>
      </c>
      <c r="K100" s="856">
        <v>30</v>
      </c>
      <c r="L100" s="851">
        <v>8197.0120429999988</v>
      </c>
    </row>
    <row r="101" spans="1:15" ht="19.5" customHeight="1">
      <c r="A101" s="1002"/>
      <c r="B101" s="1777"/>
      <c r="C101" s="857" t="s">
        <v>1702</v>
      </c>
      <c r="D101" s="858">
        <v>19753.841399999998</v>
      </c>
      <c r="E101" s="858">
        <v>0</v>
      </c>
      <c r="F101" s="858">
        <v>549.49237099999993</v>
      </c>
      <c r="G101" s="858">
        <v>0</v>
      </c>
      <c r="H101" s="858">
        <v>20303.333770999998</v>
      </c>
      <c r="I101" s="858">
        <v>289.476</v>
      </c>
      <c r="J101" s="858">
        <v>3424.0322719999999</v>
      </c>
      <c r="K101" s="858">
        <v>4006.64</v>
      </c>
      <c r="L101" s="859">
        <v>28023.482043</v>
      </c>
    </row>
    <row r="102" spans="1:15" ht="19.5" customHeight="1">
      <c r="A102" s="1002"/>
      <c r="B102" s="1778" t="s">
        <v>632</v>
      </c>
      <c r="C102" s="855" t="s">
        <v>413</v>
      </c>
      <c r="D102" s="856">
        <v>0</v>
      </c>
      <c r="E102" s="856">
        <v>0</v>
      </c>
      <c r="F102" s="856">
        <v>0</v>
      </c>
      <c r="G102" s="856">
        <v>0</v>
      </c>
      <c r="H102" s="856">
        <v>0</v>
      </c>
      <c r="I102" s="856">
        <v>0</v>
      </c>
      <c r="J102" s="856">
        <v>1252.1500000000001</v>
      </c>
      <c r="K102" s="856">
        <v>67.87</v>
      </c>
      <c r="L102" s="851">
        <v>1320.02</v>
      </c>
    </row>
    <row r="103" spans="1:15" ht="19.5" customHeight="1">
      <c r="A103" s="1002"/>
      <c r="B103" s="1779"/>
      <c r="C103" s="852" t="s">
        <v>414</v>
      </c>
      <c r="D103" s="853">
        <v>99</v>
      </c>
      <c r="E103" s="853">
        <v>0</v>
      </c>
      <c r="F103" s="853">
        <v>450</v>
      </c>
      <c r="G103" s="853">
        <v>0</v>
      </c>
      <c r="H103" s="853">
        <v>549</v>
      </c>
      <c r="I103" s="853">
        <v>0</v>
      </c>
      <c r="J103" s="853">
        <v>248.20000000000002</v>
      </c>
      <c r="K103" s="853">
        <v>674.97</v>
      </c>
      <c r="L103" s="854">
        <v>1472.17</v>
      </c>
      <c r="M103" s="686">
        <v>876</v>
      </c>
      <c r="N103" s="687">
        <v>43.684235000000058</v>
      </c>
      <c r="O103" s="687"/>
    </row>
    <row r="104" spans="1:15" ht="19.5" customHeight="1">
      <c r="A104" s="1002"/>
      <c r="B104" s="1779"/>
      <c r="C104" s="855" t="s">
        <v>415</v>
      </c>
      <c r="D104" s="856">
        <v>392.59500000000003</v>
      </c>
      <c r="E104" s="856">
        <v>0</v>
      </c>
      <c r="F104" s="856">
        <v>69.661128999999988</v>
      </c>
      <c r="G104" s="856">
        <v>0</v>
      </c>
      <c r="H104" s="856">
        <v>462.25612899999999</v>
      </c>
      <c r="I104" s="856">
        <v>31.240000000000002</v>
      </c>
      <c r="J104" s="856">
        <v>475.54010600000004</v>
      </c>
      <c r="K104" s="856">
        <v>0</v>
      </c>
      <c r="L104" s="851">
        <v>969.03623500000003</v>
      </c>
    </row>
    <row r="105" spans="1:15" ht="19.5" customHeight="1">
      <c r="A105" s="1002"/>
      <c r="B105" s="1780"/>
      <c r="C105" s="857" t="s">
        <v>1702</v>
      </c>
      <c r="D105" s="858">
        <v>491.59500000000003</v>
      </c>
      <c r="E105" s="858">
        <v>0</v>
      </c>
      <c r="F105" s="858">
        <v>519.66112899999996</v>
      </c>
      <c r="G105" s="858">
        <v>0</v>
      </c>
      <c r="H105" s="858">
        <v>1011.256129</v>
      </c>
      <c r="I105" s="858">
        <v>31.240000000000002</v>
      </c>
      <c r="J105" s="858">
        <v>1975.8901060000003</v>
      </c>
      <c r="K105" s="858">
        <v>742.84</v>
      </c>
      <c r="L105" s="859">
        <v>3761.2262350000001</v>
      </c>
    </row>
    <row r="106" spans="1:15" ht="19.5" customHeight="1">
      <c r="A106" s="1002"/>
      <c r="B106" s="1777" t="s">
        <v>503</v>
      </c>
      <c r="C106" s="849" t="s">
        <v>413</v>
      </c>
      <c r="D106" s="850">
        <v>0</v>
      </c>
      <c r="E106" s="850">
        <v>0</v>
      </c>
      <c r="F106" s="850">
        <v>0</v>
      </c>
      <c r="G106" s="850">
        <v>0</v>
      </c>
      <c r="H106" s="850">
        <v>0</v>
      </c>
      <c r="I106" s="850">
        <v>0</v>
      </c>
      <c r="J106" s="850">
        <v>0</v>
      </c>
      <c r="K106" s="850">
        <v>0</v>
      </c>
      <c r="L106" s="851">
        <v>0</v>
      </c>
    </row>
    <row r="107" spans="1:15" ht="19.5" customHeight="1">
      <c r="A107" s="1002"/>
      <c r="B107" s="1777"/>
      <c r="C107" s="852" t="s">
        <v>414</v>
      </c>
      <c r="D107" s="853">
        <v>0</v>
      </c>
      <c r="E107" s="853">
        <v>0</v>
      </c>
      <c r="F107" s="853">
        <v>0</v>
      </c>
      <c r="G107" s="853">
        <v>0</v>
      </c>
      <c r="H107" s="853">
        <v>0</v>
      </c>
      <c r="I107" s="853">
        <v>0</v>
      </c>
      <c r="J107" s="853">
        <v>0</v>
      </c>
      <c r="K107" s="853">
        <v>49.58</v>
      </c>
      <c r="L107" s="854">
        <v>49.58</v>
      </c>
      <c r="M107" s="686">
        <v>156</v>
      </c>
      <c r="N107" s="687">
        <v>6.8881549999999834</v>
      </c>
      <c r="O107" s="687"/>
    </row>
    <row r="108" spans="1:15" ht="19.5" customHeight="1">
      <c r="A108" s="1002"/>
      <c r="B108" s="1777"/>
      <c r="C108" s="855" t="s">
        <v>415</v>
      </c>
      <c r="D108" s="856">
        <v>44.83</v>
      </c>
      <c r="E108" s="856">
        <v>0</v>
      </c>
      <c r="F108" s="856">
        <v>15.026884999999998</v>
      </c>
      <c r="G108" s="856">
        <v>0</v>
      </c>
      <c r="H108" s="856">
        <v>59.856884999999998</v>
      </c>
      <c r="I108" s="856">
        <v>8.0080000000000009</v>
      </c>
      <c r="J108" s="856">
        <v>101.70726999999998</v>
      </c>
      <c r="K108" s="856">
        <v>0</v>
      </c>
      <c r="L108" s="851">
        <v>169.57215499999998</v>
      </c>
    </row>
    <row r="109" spans="1:15" ht="19.5" customHeight="1">
      <c r="A109" s="1002"/>
      <c r="B109" s="1777"/>
      <c r="C109" s="857" t="s">
        <v>1702</v>
      </c>
      <c r="D109" s="858">
        <v>44.83</v>
      </c>
      <c r="E109" s="858">
        <v>0</v>
      </c>
      <c r="F109" s="858">
        <v>15.026884999999998</v>
      </c>
      <c r="G109" s="858">
        <v>0</v>
      </c>
      <c r="H109" s="858">
        <v>59.856884999999998</v>
      </c>
      <c r="I109" s="858">
        <v>8.0080000000000009</v>
      </c>
      <c r="J109" s="858">
        <v>101.70726999999998</v>
      </c>
      <c r="K109" s="858">
        <v>49.58</v>
      </c>
      <c r="L109" s="859">
        <v>219.15215499999999</v>
      </c>
      <c r="M109" s="686">
        <v>2355</v>
      </c>
      <c r="N109" s="687">
        <v>174.06652000000031</v>
      </c>
      <c r="O109" s="687"/>
    </row>
    <row r="110" spans="1:15" ht="19.5" customHeight="1">
      <c r="A110" s="1002"/>
      <c r="B110" s="1804" t="s">
        <v>1705</v>
      </c>
      <c r="C110" s="1805"/>
      <c r="D110" s="880">
        <v>1431.0300000000002</v>
      </c>
      <c r="E110" s="880">
        <v>0</v>
      </c>
      <c r="F110" s="880">
        <v>291.05469199999999</v>
      </c>
      <c r="G110" s="880">
        <v>0</v>
      </c>
      <c r="H110" s="880">
        <v>1722.0846920000001</v>
      </c>
      <c r="I110" s="880">
        <v>237.02799999999996</v>
      </c>
      <c r="J110" s="880">
        <v>751.45382800000016</v>
      </c>
      <c r="K110" s="880">
        <v>0</v>
      </c>
      <c r="L110" s="881">
        <v>2710.5665200000003</v>
      </c>
    </row>
    <row r="111" spans="1:15" ht="19.5" customHeight="1">
      <c r="A111" s="1002"/>
      <c r="B111" s="1778" t="s">
        <v>1706</v>
      </c>
      <c r="C111" s="855" t="s">
        <v>413</v>
      </c>
      <c r="D111" s="856">
        <v>16659</v>
      </c>
      <c r="E111" s="856">
        <v>250</v>
      </c>
      <c r="F111" s="856">
        <v>2879.2</v>
      </c>
      <c r="G111" s="856">
        <v>0</v>
      </c>
      <c r="H111" s="856">
        <v>19788.2</v>
      </c>
      <c r="I111" s="856">
        <v>0</v>
      </c>
      <c r="J111" s="856">
        <v>5888.25</v>
      </c>
      <c r="K111" s="856">
        <v>725.51</v>
      </c>
      <c r="L111" s="851">
        <v>26401.96</v>
      </c>
    </row>
    <row r="112" spans="1:15" ht="19.5" customHeight="1">
      <c r="A112" s="1002"/>
      <c r="B112" s="1779"/>
      <c r="C112" s="852" t="s">
        <v>414</v>
      </c>
      <c r="D112" s="853">
        <v>22425.83</v>
      </c>
      <c r="E112" s="853">
        <v>1080</v>
      </c>
      <c r="F112" s="853">
        <v>558</v>
      </c>
      <c r="G112" s="853">
        <v>0</v>
      </c>
      <c r="H112" s="853">
        <v>24063.83</v>
      </c>
      <c r="I112" s="853">
        <v>0</v>
      </c>
      <c r="J112" s="853">
        <v>2916</v>
      </c>
      <c r="K112" s="853">
        <v>18630.130000000005</v>
      </c>
      <c r="L112" s="854">
        <v>45609.960000000006</v>
      </c>
      <c r="M112" s="686">
        <v>24360</v>
      </c>
      <c r="N112" s="687">
        <v>1064.6499999999978</v>
      </c>
    </row>
    <row r="113" spans="1:14" ht="19.5" customHeight="1">
      <c r="A113" s="1002"/>
      <c r="B113" s="1779"/>
      <c r="C113" s="855" t="s">
        <v>415</v>
      </c>
      <c r="D113" s="856">
        <v>15662.478999999998</v>
      </c>
      <c r="E113" s="856">
        <v>250</v>
      </c>
      <c r="F113" s="856">
        <v>2344.0600000000004</v>
      </c>
      <c r="G113" s="856">
        <v>0</v>
      </c>
      <c r="H113" s="856">
        <v>18256.538999999997</v>
      </c>
      <c r="I113" s="856">
        <v>1620.0000000000002</v>
      </c>
      <c r="J113" s="856">
        <v>11484.520000000002</v>
      </c>
      <c r="K113" s="856">
        <v>379</v>
      </c>
      <c r="L113" s="851">
        <v>31740.059000000001</v>
      </c>
    </row>
    <row r="114" spans="1:14" ht="19.5" customHeight="1">
      <c r="A114" s="1002"/>
      <c r="B114" s="1806"/>
      <c r="C114" s="860" t="s">
        <v>403</v>
      </c>
      <c r="D114" s="861">
        <v>54747.309000000001</v>
      </c>
      <c r="E114" s="861">
        <v>1580</v>
      </c>
      <c r="F114" s="861">
        <v>5781.26</v>
      </c>
      <c r="G114" s="861">
        <v>0</v>
      </c>
      <c r="H114" s="861">
        <v>62108.568999999996</v>
      </c>
      <c r="I114" s="861">
        <v>1620.0000000000002</v>
      </c>
      <c r="J114" s="861">
        <v>20288.770000000004</v>
      </c>
      <c r="K114" s="861">
        <v>19734.640000000003</v>
      </c>
      <c r="L114" s="862">
        <v>103751.97900000002</v>
      </c>
    </row>
    <row r="115" spans="1:14" ht="19.5" customHeight="1">
      <c r="A115" s="1002"/>
      <c r="B115" s="74"/>
      <c r="C115" s="1027"/>
      <c r="D115" s="1028"/>
      <c r="E115" s="1028"/>
      <c r="F115" s="1028"/>
      <c r="G115" s="1028"/>
      <c r="H115" s="1028"/>
      <c r="I115" s="1028"/>
      <c r="J115" s="1028"/>
      <c r="K115" s="1028"/>
      <c r="L115" s="1086" t="s">
        <v>426</v>
      </c>
    </row>
    <row r="116" spans="1:14" ht="19.5" customHeight="1">
      <c r="A116" s="1002"/>
      <c r="B116" s="195"/>
      <c r="C116" s="747"/>
      <c r="D116" s="1029"/>
      <c r="E116" s="1029"/>
      <c r="F116" s="1029"/>
      <c r="G116" s="1029"/>
      <c r="H116" s="1029"/>
      <c r="I116" s="1029"/>
      <c r="J116" s="1029"/>
      <c r="K116" s="1026"/>
      <c r="L116" s="1022"/>
    </row>
    <row r="117" spans="1:14" ht="19.5" customHeight="1">
      <c r="A117" s="1002"/>
      <c r="B117" s="1807" t="s">
        <v>1707</v>
      </c>
      <c r="C117" s="1807"/>
      <c r="D117" s="1807"/>
      <c r="E117" s="1807"/>
      <c r="F117" s="1807"/>
      <c r="G117" s="1807"/>
      <c r="H117" s="1807"/>
      <c r="I117" s="1807"/>
      <c r="J117" s="1807"/>
      <c r="K117" s="1807"/>
      <c r="L117" s="1807"/>
    </row>
    <row r="118" spans="1:14" ht="19.5" customHeight="1">
      <c r="A118" s="1002"/>
      <c r="B118" s="1807"/>
      <c r="C118" s="1807"/>
      <c r="D118" s="1807"/>
      <c r="E118" s="1807"/>
      <c r="F118" s="1807"/>
      <c r="G118" s="1807"/>
      <c r="H118" s="1807"/>
      <c r="I118" s="1807"/>
      <c r="J118" s="1807"/>
      <c r="K118" s="1807"/>
      <c r="L118" s="1807"/>
    </row>
    <row r="119" spans="1:14" ht="19.5" customHeight="1">
      <c r="A119" s="1002"/>
      <c r="B119" s="1807"/>
      <c r="C119" s="1807"/>
      <c r="D119" s="1807"/>
      <c r="E119" s="1807"/>
      <c r="F119" s="1807"/>
      <c r="G119" s="1807"/>
      <c r="H119" s="1807"/>
      <c r="I119" s="1807"/>
      <c r="J119" s="1807"/>
      <c r="K119" s="1807"/>
      <c r="L119" s="1807"/>
    </row>
    <row r="120" spans="1:14" ht="19.5" customHeight="1">
      <c r="A120" s="1002"/>
      <c r="B120" s="1783" t="s">
        <v>1700</v>
      </c>
      <c r="C120" s="1783"/>
      <c r="D120" s="1783"/>
      <c r="E120" s="1783"/>
      <c r="F120" s="1783"/>
      <c r="G120" s="1783"/>
      <c r="H120" s="1783"/>
      <c r="I120" s="1783"/>
      <c r="J120" s="1783"/>
      <c r="K120" s="1783"/>
      <c r="L120" s="1783"/>
    </row>
    <row r="121" spans="1:14" ht="19.5" customHeight="1">
      <c r="A121" s="1002"/>
      <c r="B121" s="1474"/>
      <c r="C121" s="1474"/>
      <c r="D121" s="1474"/>
      <c r="E121" s="1474"/>
      <c r="F121" s="1474"/>
      <c r="G121" s="1474"/>
      <c r="H121" s="1474"/>
      <c r="I121" s="1475"/>
      <c r="J121" s="1474"/>
      <c r="K121" s="1808" t="s">
        <v>1963</v>
      </c>
      <c r="L121" s="1808"/>
    </row>
    <row r="122" spans="1:14" ht="19.5" customHeight="1">
      <c r="A122" s="1002"/>
      <c r="B122" s="1785" t="s">
        <v>1603</v>
      </c>
      <c r="C122" s="1788" t="s">
        <v>1668</v>
      </c>
      <c r="D122" s="1791" t="s">
        <v>1669</v>
      </c>
      <c r="E122" s="1792"/>
      <c r="F122" s="1792"/>
      <c r="G122" s="1792"/>
      <c r="H122" s="1792"/>
      <c r="I122" s="1792"/>
      <c r="J122" s="1792"/>
      <c r="K122" s="1793"/>
      <c r="L122" s="1794" t="s">
        <v>403</v>
      </c>
    </row>
    <row r="123" spans="1:14" ht="19.5" customHeight="1">
      <c r="A123" s="1002"/>
      <c r="B123" s="1786"/>
      <c r="C123" s="1789"/>
      <c r="D123" s="1797" t="s">
        <v>405</v>
      </c>
      <c r="E123" s="1798"/>
      <c r="F123" s="1798"/>
      <c r="G123" s="1798"/>
      <c r="H123" s="1798"/>
      <c r="I123" s="1799" t="s">
        <v>411</v>
      </c>
      <c r="J123" s="1800" t="s">
        <v>407</v>
      </c>
      <c r="K123" s="1802" t="s">
        <v>1701</v>
      </c>
      <c r="L123" s="1795"/>
    </row>
    <row r="124" spans="1:14" ht="19.5" customHeight="1">
      <c r="A124" s="1002"/>
      <c r="B124" s="1787"/>
      <c r="C124" s="1790"/>
      <c r="D124" s="1090" t="s">
        <v>408</v>
      </c>
      <c r="E124" s="1004" t="s">
        <v>888</v>
      </c>
      <c r="F124" s="1004" t="s">
        <v>409</v>
      </c>
      <c r="G124" s="1004" t="s">
        <v>410</v>
      </c>
      <c r="H124" s="1004" t="s">
        <v>406</v>
      </c>
      <c r="I124" s="1797"/>
      <c r="J124" s="1801"/>
      <c r="K124" s="1803"/>
      <c r="L124" s="1796"/>
    </row>
    <row r="125" spans="1:14" ht="19.5" customHeight="1">
      <c r="A125" s="1002"/>
      <c r="B125" s="1777" t="s">
        <v>504</v>
      </c>
      <c r="C125" s="849" t="s">
        <v>413</v>
      </c>
      <c r="D125" s="850">
        <v>0</v>
      </c>
      <c r="E125" s="850">
        <v>0</v>
      </c>
      <c r="F125" s="850">
        <v>0</v>
      </c>
      <c r="G125" s="850">
        <v>0</v>
      </c>
      <c r="H125" s="850">
        <v>0</v>
      </c>
      <c r="I125" s="850">
        <v>0</v>
      </c>
      <c r="J125" s="850">
        <v>0</v>
      </c>
      <c r="K125" s="850">
        <v>0.05</v>
      </c>
      <c r="L125" s="851">
        <v>0.05</v>
      </c>
    </row>
    <row r="126" spans="1:14" ht="19.5" customHeight="1">
      <c r="A126" s="1002"/>
      <c r="B126" s="1777"/>
      <c r="C126" s="852" t="s">
        <v>414</v>
      </c>
      <c r="D126" s="853">
        <v>0</v>
      </c>
      <c r="E126" s="853">
        <v>0</v>
      </c>
      <c r="F126" s="853">
        <v>48</v>
      </c>
      <c r="G126" s="853">
        <v>0</v>
      </c>
      <c r="H126" s="853">
        <v>48</v>
      </c>
      <c r="I126" s="853">
        <v>0</v>
      </c>
      <c r="J126" s="853">
        <v>0</v>
      </c>
      <c r="K126" s="853">
        <v>7.78</v>
      </c>
      <c r="L126" s="854">
        <v>55.78</v>
      </c>
      <c r="M126" s="686">
        <v>482</v>
      </c>
      <c r="N126" s="687">
        <v>33.254999999999995</v>
      </c>
    </row>
    <row r="127" spans="1:14" ht="19.5" customHeight="1">
      <c r="A127" s="1002"/>
      <c r="B127" s="1777"/>
      <c r="C127" s="855" t="s">
        <v>415</v>
      </c>
      <c r="D127" s="856">
        <v>492.26799999999997</v>
      </c>
      <c r="E127" s="856">
        <v>0</v>
      </c>
      <c r="F127" s="856">
        <v>19.670000000000002</v>
      </c>
      <c r="G127" s="856">
        <v>0</v>
      </c>
      <c r="H127" s="856">
        <v>511.93799999999999</v>
      </c>
      <c r="I127" s="856">
        <v>26</v>
      </c>
      <c r="J127" s="856">
        <v>2</v>
      </c>
      <c r="K127" s="856">
        <v>0</v>
      </c>
      <c r="L127" s="851">
        <v>539.93799999999999</v>
      </c>
    </row>
    <row r="128" spans="1:14" ht="19.5" customHeight="1">
      <c r="A128" s="1002"/>
      <c r="B128" s="1777"/>
      <c r="C128" s="857" t="s">
        <v>1702</v>
      </c>
      <c r="D128" s="858">
        <v>492.26799999999997</v>
      </c>
      <c r="E128" s="858">
        <v>0</v>
      </c>
      <c r="F128" s="858">
        <v>67.67</v>
      </c>
      <c r="G128" s="858">
        <v>0</v>
      </c>
      <c r="H128" s="858">
        <v>559.93799999999999</v>
      </c>
      <c r="I128" s="858">
        <v>26</v>
      </c>
      <c r="J128" s="858">
        <v>2</v>
      </c>
      <c r="K128" s="858">
        <v>7.83</v>
      </c>
      <c r="L128" s="859">
        <v>595.76800000000003</v>
      </c>
    </row>
    <row r="129" spans="1:15" ht="19.5" customHeight="1">
      <c r="A129" s="1002"/>
      <c r="B129" s="1778" t="s">
        <v>505</v>
      </c>
      <c r="C129" s="855" t="s">
        <v>413</v>
      </c>
      <c r="D129" s="856">
        <v>0</v>
      </c>
      <c r="E129" s="856">
        <v>0</v>
      </c>
      <c r="F129" s="856">
        <v>0</v>
      </c>
      <c r="G129" s="856">
        <v>0</v>
      </c>
      <c r="H129" s="856">
        <v>0</v>
      </c>
      <c r="I129" s="856">
        <v>0</v>
      </c>
      <c r="J129" s="856">
        <v>0</v>
      </c>
      <c r="K129" s="856">
        <v>0</v>
      </c>
      <c r="L129" s="851">
        <v>0</v>
      </c>
    </row>
    <row r="130" spans="1:15" ht="19.5" customHeight="1">
      <c r="A130" s="1002"/>
      <c r="B130" s="1779"/>
      <c r="C130" s="852" t="s">
        <v>414</v>
      </c>
      <c r="D130" s="853">
        <v>0</v>
      </c>
      <c r="E130" s="853">
        <v>0</v>
      </c>
      <c r="F130" s="853">
        <v>0</v>
      </c>
      <c r="G130" s="853">
        <v>0</v>
      </c>
      <c r="H130" s="853">
        <v>0</v>
      </c>
      <c r="I130" s="853">
        <v>0</v>
      </c>
      <c r="J130" s="853">
        <v>0</v>
      </c>
      <c r="K130" s="853">
        <v>40.660000000000004</v>
      </c>
      <c r="L130" s="854">
        <v>40.660000000000004</v>
      </c>
      <c r="M130" s="686">
        <v>164</v>
      </c>
      <c r="N130" s="686">
        <v>27.749999999999943</v>
      </c>
      <c r="O130" s="686">
        <v>4.4999999999999991</v>
      </c>
    </row>
    <row r="131" spans="1:15" ht="19.5" customHeight="1">
      <c r="A131" s="1002"/>
      <c r="B131" s="1779"/>
      <c r="C131" s="855" t="s">
        <v>415</v>
      </c>
      <c r="D131" s="856">
        <v>164.74399999999997</v>
      </c>
      <c r="E131" s="856">
        <v>0</v>
      </c>
      <c r="F131" s="856">
        <v>43.34</v>
      </c>
      <c r="G131" s="856">
        <v>0</v>
      </c>
      <c r="H131" s="856">
        <v>208.08399999999997</v>
      </c>
      <c r="I131" s="856">
        <v>7</v>
      </c>
      <c r="J131" s="856">
        <v>0</v>
      </c>
      <c r="K131" s="856">
        <v>0</v>
      </c>
      <c r="L131" s="851">
        <v>215.08399999999997</v>
      </c>
    </row>
    <row r="132" spans="1:15" ht="19.5" customHeight="1">
      <c r="A132" s="1002"/>
      <c r="B132" s="1780"/>
      <c r="C132" s="857" t="s">
        <v>1702</v>
      </c>
      <c r="D132" s="858">
        <v>164.74399999999997</v>
      </c>
      <c r="E132" s="858">
        <v>0</v>
      </c>
      <c r="F132" s="858">
        <v>43.34</v>
      </c>
      <c r="G132" s="858">
        <v>0</v>
      </c>
      <c r="H132" s="858">
        <v>208.08399999999997</v>
      </c>
      <c r="I132" s="858">
        <v>7</v>
      </c>
      <c r="J132" s="858">
        <v>0</v>
      </c>
      <c r="K132" s="858">
        <v>40.660000000000004</v>
      </c>
      <c r="L132" s="859">
        <v>255.74399999999997</v>
      </c>
    </row>
    <row r="133" spans="1:15" ht="19.5" customHeight="1">
      <c r="A133" s="1002"/>
      <c r="B133" s="1777" t="s">
        <v>494</v>
      </c>
      <c r="C133" s="849" t="s">
        <v>413</v>
      </c>
      <c r="D133" s="850">
        <v>4510</v>
      </c>
      <c r="E133" s="850">
        <v>900</v>
      </c>
      <c r="F133" s="850">
        <v>2177.8200000000002</v>
      </c>
      <c r="G133" s="850">
        <v>0</v>
      </c>
      <c r="H133" s="850">
        <v>7587.82</v>
      </c>
      <c r="I133" s="850">
        <v>0</v>
      </c>
      <c r="J133" s="850">
        <v>772</v>
      </c>
      <c r="K133" s="850">
        <v>86.09</v>
      </c>
      <c r="L133" s="851">
        <v>8445.91</v>
      </c>
    </row>
    <row r="134" spans="1:15" ht="19.5" customHeight="1">
      <c r="A134" s="1002"/>
      <c r="B134" s="1777"/>
      <c r="C134" s="852" t="s">
        <v>414</v>
      </c>
      <c r="D134" s="853">
        <v>7144.67</v>
      </c>
      <c r="E134" s="853">
        <v>500</v>
      </c>
      <c r="F134" s="853">
        <v>3985</v>
      </c>
      <c r="G134" s="853">
        <v>0</v>
      </c>
      <c r="H134" s="853">
        <v>11629.67</v>
      </c>
      <c r="I134" s="853">
        <v>0</v>
      </c>
      <c r="J134" s="853">
        <v>0</v>
      </c>
      <c r="K134" s="853">
        <v>13720.62</v>
      </c>
      <c r="L134" s="854">
        <v>25350.29</v>
      </c>
      <c r="M134" s="686">
        <v>3848</v>
      </c>
      <c r="N134" s="686">
        <v>620.73000000000047</v>
      </c>
    </row>
    <row r="135" spans="1:15" ht="19.5" customHeight="1">
      <c r="A135" s="1002"/>
      <c r="B135" s="1777"/>
      <c r="C135" s="855" t="s">
        <v>415</v>
      </c>
      <c r="D135" s="856">
        <v>4301.5019999999995</v>
      </c>
      <c r="E135" s="856">
        <v>0</v>
      </c>
      <c r="F135" s="856">
        <v>424</v>
      </c>
      <c r="G135" s="856">
        <v>0</v>
      </c>
      <c r="H135" s="856">
        <v>4725.5019999999995</v>
      </c>
      <c r="I135" s="856">
        <v>559</v>
      </c>
      <c r="J135" s="856">
        <v>0</v>
      </c>
      <c r="K135" s="856">
        <v>243.3</v>
      </c>
      <c r="L135" s="851">
        <v>5527.8019999999997</v>
      </c>
    </row>
    <row r="136" spans="1:15" ht="19.5" customHeight="1">
      <c r="A136" s="1002"/>
      <c r="B136" s="1777"/>
      <c r="C136" s="857" t="s">
        <v>1702</v>
      </c>
      <c r="D136" s="858">
        <v>15956.171999999999</v>
      </c>
      <c r="E136" s="858">
        <v>1400</v>
      </c>
      <c r="F136" s="858">
        <v>6586.82</v>
      </c>
      <c r="G136" s="858">
        <v>0</v>
      </c>
      <c r="H136" s="858">
        <v>23942.991999999998</v>
      </c>
      <c r="I136" s="858">
        <v>559</v>
      </c>
      <c r="J136" s="858">
        <v>772</v>
      </c>
      <c r="K136" s="858">
        <v>14050.01</v>
      </c>
      <c r="L136" s="859">
        <v>39324.001999999993</v>
      </c>
    </row>
    <row r="137" spans="1:15" ht="19.5" customHeight="1">
      <c r="A137" s="1002"/>
      <c r="B137" s="1778" t="s">
        <v>522</v>
      </c>
      <c r="C137" s="855" t="s">
        <v>413</v>
      </c>
      <c r="D137" s="856">
        <v>5400</v>
      </c>
      <c r="E137" s="856">
        <v>0</v>
      </c>
      <c r="F137" s="856">
        <v>0</v>
      </c>
      <c r="G137" s="856">
        <v>0</v>
      </c>
      <c r="H137" s="856">
        <v>5400</v>
      </c>
      <c r="I137" s="856">
        <v>0</v>
      </c>
      <c r="J137" s="856">
        <v>1703.66</v>
      </c>
      <c r="K137" s="856">
        <v>83.96</v>
      </c>
      <c r="L137" s="851">
        <v>7187.62</v>
      </c>
    </row>
    <row r="138" spans="1:15" ht="19.5" customHeight="1">
      <c r="A138" s="1002"/>
      <c r="B138" s="1779"/>
      <c r="C138" s="852" t="s">
        <v>414</v>
      </c>
      <c r="D138" s="853">
        <v>6079</v>
      </c>
      <c r="E138" s="853">
        <v>0</v>
      </c>
      <c r="F138" s="853">
        <v>75</v>
      </c>
      <c r="G138" s="853">
        <v>0</v>
      </c>
      <c r="H138" s="853">
        <v>6154</v>
      </c>
      <c r="I138" s="853">
        <v>0</v>
      </c>
      <c r="J138" s="853">
        <v>0</v>
      </c>
      <c r="K138" s="853">
        <v>4897.55</v>
      </c>
      <c r="L138" s="854">
        <v>11051.55</v>
      </c>
      <c r="M138" s="686">
        <v>4516.72</v>
      </c>
      <c r="N138" s="686">
        <v>1175.6599999999989</v>
      </c>
    </row>
    <row r="139" spans="1:15" ht="19.5" customHeight="1">
      <c r="A139" s="1002"/>
      <c r="B139" s="1779"/>
      <c r="C139" s="855" t="s">
        <v>415</v>
      </c>
      <c r="D139" s="856">
        <v>4608.4800000000005</v>
      </c>
      <c r="E139" s="856">
        <v>0</v>
      </c>
      <c r="F139" s="856">
        <v>257</v>
      </c>
      <c r="G139" s="856">
        <v>0</v>
      </c>
      <c r="H139" s="856">
        <v>4865.4800000000005</v>
      </c>
      <c r="I139" s="856">
        <v>273</v>
      </c>
      <c r="J139" s="856">
        <v>1520</v>
      </c>
      <c r="K139" s="856">
        <v>300</v>
      </c>
      <c r="L139" s="851">
        <v>6958.4800000000005</v>
      </c>
    </row>
    <row r="140" spans="1:15" ht="19.5" customHeight="1">
      <c r="A140" s="1002"/>
      <c r="B140" s="1780"/>
      <c r="C140" s="857" t="s">
        <v>1702</v>
      </c>
      <c r="D140" s="858">
        <v>16087.48</v>
      </c>
      <c r="E140" s="858">
        <v>0</v>
      </c>
      <c r="F140" s="858">
        <v>332</v>
      </c>
      <c r="G140" s="858">
        <v>0</v>
      </c>
      <c r="H140" s="858">
        <v>16419.48</v>
      </c>
      <c r="I140" s="858">
        <v>273</v>
      </c>
      <c r="J140" s="858">
        <v>3223.66</v>
      </c>
      <c r="K140" s="858">
        <v>5281.51</v>
      </c>
      <c r="L140" s="859">
        <v>25197.649999999998</v>
      </c>
    </row>
    <row r="141" spans="1:15" ht="19.5" customHeight="1">
      <c r="A141" s="1002"/>
      <c r="B141" s="1777" t="s">
        <v>523</v>
      </c>
      <c r="C141" s="849" t="s">
        <v>413</v>
      </c>
      <c r="D141" s="850">
        <v>1840</v>
      </c>
      <c r="E141" s="850">
        <v>0</v>
      </c>
      <c r="F141" s="850">
        <v>0</v>
      </c>
      <c r="G141" s="850">
        <v>0</v>
      </c>
      <c r="H141" s="850">
        <v>1840</v>
      </c>
      <c r="I141" s="850">
        <v>0</v>
      </c>
      <c r="J141" s="850">
        <v>120</v>
      </c>
      <c r="K141" s="850">
        <v>11.049999999999997</v>
      </c>
      <c r="L141" s="851">
        <v>1971.05</v>
      </c>
    </row>
    <row r="142" spans="1:15" ht="19.5" customHeight="1">
      <c r="A142" s="1002"/>
      <c r="B142" s="1777"/>
      <c r="C142" s="852" t="s">
        <v>414</v>
      </c>
      <c r="D142" s="853">
        <v>7667.5</v>
      </c>
      <c r="E142" s="853">
        <v>0</v>
      </c>
      <c r="F142" s="853">
        <v>0</v>
      </c>
      <c r="G142" s="853">
        <v>0</v>
      </c>
      <c r="H142" s="853">
        <v>7667.5</v>
      </c>
      <c r="I142" s="853">
        <v>0</v>
      </c>
      <c r="J142" s="853">
        <v>0</v>
      </c>
      <c r="K142" s="853">
        <v>587.32999999999993</v>
      </c>
      <c r="L142" s="854">
        <v>8254.83</v>
      </c>
      <c r="M142" s="686">
        <v>1554</v>
      </c>
      <c r="N142" s="686">
        <v>704.75</v>
      </c>
    </row>
    <row r="143" spans="1:15" ht="19.5" customHeight="1">
      <c r="A143" s="1002"/>
      <c r="B143" s="1777"/>
      <c r="C143" s="855" t="s">
        <v>415</v>
      </c>
      <c r="D143" s="856">
        <v>2714.3860000000004</v>
      </c>
      <c r="E143" s="856">
        <v>0</v>
      </c>
      <c r="F143" s="856">
        <v>0</v>
      </c>
      <c r="G143" s="856">
        <v>0</v>
      </c>
      <c r="H143" s="856">
        <v>2714.3860000000004</v>
      </c>
      <c r="I143" s="856">
        <v>48</v>
      </c>
      <c r="J143" s="856">
        <v>113</v>
      </c>
      <c r="K143" s="856">
        <v>0</v>
      </c>
      <c r="L143" s="851">
        <v>2875.3860000000004</v>
      </c>
    </row>
    <row r="144" spans="1:15" ht="19.5" customHeight="1">
      <c r="A144" s="1002"/>
      <c r="B144" s="1777"/>
      <c r="C144" s="857" t="s">
        <v>1702</v>
      </c>
      <c r="D144" s="858">
        <v>12221.886</v>
      </c>
      <c r="E144" s="858">
        <v>0</v>
      </c>
      <c r="F144" s="858">
        <v>0</v>
      </c>
      <c r="G144" s="858">
        <v>0</v>
      </c>
      <c r="H144" s="858">
        <v>12221.886</v>
      </c>
      <c r="I144" s="858">
        <v>48</v>
      </c>
      <c r="J144" s="858">
        <v>233</v>
      </c>
      <c r="K144" s="858">
        <v>598.37999999999988</v>
      </c>
      <c r="L144" s="859">
        <v>13101.266</v>
      </c>
    </row>
    <row r="145" spans="1:16" ht="19.5" customHeight="1">
      <c r="A145" s="1002"/>
      <c r="B145" s="1778" t="s">
        <v>491</v>
      </c>
      <c r="C145" s="855" t="s">
        <v>413</v>
      </c>
      <c r="D145" s="856">
        <v>9750</v>
      </c>
      <c r="E145" s="856">
        <v>0</v>
      </c>
      <c r="F145" s="856">
        <v>672</v>
      </c>
      <c r="G145" s="856">
        <v>0</v>
      </c>
      <c r="H145" s="856">
        <v>10422</v>
      </c>
      <c r="I145" s="856">
        <v>0</v>
      </c>
      <c r="J145" s="856">
        <v>2850.84</v>
      </c>
      <c r="K145" s="856">
        <v>388.13</v>
      </c>
      <c r="L145" s="851">
        <v>13660.970000000001</v>
      </c>
    </row>
    <row r="146" spans="1:16" ht="19.5" customHeight="1">
      <c r="A146" s="1002"/>
      <c r="B146" s="1779"/>
      <c r="C146" s="852" t="s">
        <v>414</v>
      </c>
      <c r="D146" s="853">
        <v>11756</v>
      </c>
      <c r="E146" s="853">
        <v>0</v>
      </c>
      <c r="F146" s="853">
        <v>568</v>
      </c>
      <c r="G146" s="853">
        <v>0</v>
      </c>
      <c r="H146" s="853">
        <v>12324</v>
      </c>
      <c r="I146" s="853">
        <v>0</v>
      </c>
      <c r="J146" s="853">
        <v>481</v>
      </c>
      <c r="K146" s="853">
        <v>9872.2199999999993</v>
      </c>
      <c r="L146" s="854">
        <v>22677.22</v>
      </c>
      <c r="M146" s="686">
        <v>6623</v>
      </c>
      <c r="N146" s="687">
        <v>1130.5249999999996</v>
      </c>
    </row>
    <row r="147" spans="1:16" ht="19.5" customHeight="1">
      <c r="A147" s="1002"/>
      <c r="B147" s="1779"/>
      <c r="C147" s="855" t="s">
        <v>415</v>
      </c>
      <c r="D147" s="856">
        <v>4858.1780000000008</v>
      </c>
      <c r="E147" s="856">
        <v>0</v>
      </c>
      <c r="F147" s="856">
        <v>2272.73</v>
      </c>
      <c r="G147" s="856">
        <v>0</v>
      </c>
      <c r="H147" s="856">
        <v>7130.9080000000013</v>
      </c>
      <c r="I147" s="856">
        <v>690</v>
      </c>
      <c r="J147" s="856">
        <v>0</v>
      </c>
      <c r="K147" s="856">
        <v>123</v>
      </c>
      <c r="L147" s="851">
        <v>7943.9080000000013</v>
      </c>
    </row>
    <row r="148" spans="1:16" ht="19.5" customHeight="1">
      <c r="A148" s="1002"/>
      <c r="B148" s="1780"/>
      <c r="C148" s="857" t="s">
        <v>1702</v>
      </c>
      <c r="D148" s="858">
        <v>26364.178</v>
      </c>
      <c r="E148" s="858">
        <v>0</v>
      </c>
      <c r="F148" s="858">
        <v>3512.73</v>
      </c>
      <c r="G148" s="858">
        <v>0</v>
      </c>
      <c r="H148" s="858">
        <v>29876.908000000003</v>
      </c>
      <c r="I148" s="858">
        <v>690</v>
      </c>
      <c r="J148" s="858">
        <v>3331.84</v>
      </c>
      <c r="K148" s="858">
        <v>10383.349999999999</v>
      </c>
      <c r="L148" s="859">
        <v>44282.098000000005</v>
      </c>
      <c r="M148" s="693"/>
    </row>
    <row r="149" spans="1:16" ht="19.5" customHeight="1">
      <c r="A149" s="1002"/>
      <c r="B149" s="1777" t="s">
        <v>1708</v>
      </c>
      <c r="C149" s="849" t="s">
        <v>413</v>
      </c>
      <c r="D149" s="850">
        <v>0</v>
      </c>
      <c r="E149" s="850">
        <v>0</v>
      </c>
      <c r="F149" s="850">
        <v>0</v>
      </c>
      <c r="G149" s="850">
        <v>0</v>
      </c>
      <c r="H149" s="850">
        <v>0</v>
      </c>
      <c r="I149" s="850">
        <v>0</v>
      </c>
      <c r="J149" s="850">
        <v>0</v>
      </c>
      <c r="K149" s="850">
        <v>0</v>
      </c>
      <c r="L149" s="851">
        <v>0</v>
      </c>
    </row>
    <row r="150" spans="1:16" ht="19.5" customHeight="1">
      <c r="A150" s="1002"/>
      <c r="B150" s="1777"/>
      <c r="C150" s="852" t="s">
        <v>414</v>
      </c>
      <c r="D150" s="853">
        <v>200</v>
      </c>
      <c r="E150" s="853">
        <v>0</v>
      </c>
      <c r="F150" s="853">
        <v>0</v>
      </c>
      <c r="G150" s="853">
        <v>0</v>
      </c>
      <c r="H150" s="853">
        <v>200</v>
      </c>
      <c r="I150" s="853">
        <v>0</v>
      </c>
      <c r="J150" s="853">
        <v>0</v>
      </c>
      <c r="K150" s="853">
        <v>5.4600000000000009</v>
      </c>
      <c r="L150" s="854">
        <v>205.46</v>
      </c>
      <c r="M150" s="686">
        <v>229</v>
      </c>
      <c r="N150" s="686">
        <v>41.940000000000055</v>
      </c>
      <c r="O150" s="686">
        <v>5.0599999999999996</v>
      </c>
      <c r="P150" s="686">
        <v>36.880000000000052</v>
      </c>
    </row>
    <row r="151" spans="1:16" ht="19.5" customHeight="1">
      <c r="A151" s="1002"/>
      <c r="B151" s="1777"/>
      <c r="C151" s="855" t="s">
        <v>415</v>
      </c>
      <c r="D151" s="856">
        <v>222.44400000000005</v>
      </c>
      <c r="E151" s="856">
        <v>0</v>
      </c>
      <c r="F151" s="856">
        <v>66.34</v>
      </c>
      <c r="G151" s="856">
        <v>0</v>
      </c>
      <c r="H151" s="856">
        <v>288.78400000000005</v>
      </c>
      <c r="I151" s="856">
        <v>9</v>
      </c>
      <c r="J151" s="856">
        <v>0</v>
      </c>
      <c r="K151" s="856">
        <v>0</v>
      </c>
      <c r="L151" s="851">
        <v>297.78400000000005</v>
      </c>
    </row>
    <row r="152" spans="1:16" ht="19.5" customHeight="1">
      <c r="A152" s="1002"/>
      <c r="B152" s="1777"/>
      <c r="C152" s="857" t="s">
        <v>1702</v>
      </c>
      <c r="D152" s="858">
        <v>422.44400000000007</v>
      </c>
      <c r="E152" s="858">
        <v>0</v>
      </c>
      <c r="F152" s="858">
        <v>66.34</v>
      </c>
      <c r="G152" s="858">
        <v>0</v>
      </c>
      <c r="H152" s="858">
        <v>488.78400000000005</v>
      </c>
      <c r="I152" s="858">
        <v>9</v>
      </c>
      <c r="J152" s="858">
        <v>0</v>
      </c>
      <c r="K152" s="858">
        <v>5.4600000000000009</v>
      </c>
      <c r="L152" s="859">
        <v>503.24400000000003</v>
      </c>
      <c r="M152" s="687">
        <v>2221.59</v>
      </c>
      <c r="N152" s="687">
        <v>537</v>
      </c>
    </row>
    <row r="153" spans="1:16" ht="19.5" customHeight="1">
      <c r="A153" s="1002"/>
      <c r="B153" s="1804" t="s">
        <v>1705</v>
      </c>
      <c r="C153" s="1805"/>
      <c r="D153" s="880">
        <v>2771</v>
      </c>
      <c r="E153" s="880">
        <v>0</v>
      </c>
      <c r="F153" s="880">
        <v>197.59</v>
      </c>
      <c r="G153" s="880">
        <v>0</v>
      </c>
      <c r="H153" s="880">
        <v>2968.59</v>
      </c>
      <c r="I153" s="880">
        <v>228</v>
      </c>
      <c r="J153" s="880">
        <v>0</v>
      </c>
      <c r="K153" s="880">
        <v>0</v>
      </c>
      <c r="L153" s="881">
        <v>3196.59</v>
      </c>
      <c r="M153" s="693"/>
    </row>
    <row r="154" spans="1:16" ht="19.5" customHeight="1">
      <c r="A154" s="1002"/>
      <c r="B154" s="1778" t="s">
        <v>1709</v>
      </c>
      <c r="C154" s="855" t="s">
        <v>413</v>
      </c>
      <c r="D154" s="856">
        <v>21500</v>
      </c>
      <c r="E154" s="856">
        <v>900</v>
      </c>
      <c r="F154" s="856">
        <v>2849.82</v>
      </c>
      <c r="G154" s="856">
        <v>0</v>
      </c>
      <c r="H154" s="856">
        <v>25249.82</v>
      </c>
      <c r="I154" s="856">
        <v>0</v>
      </c>
      <c r="J154" s="856">
        <v>5446.5</v>
      </c>
      <c r="K154" s="856">
        <v>569.28</v>
      </c>
      <c r="L154" s="851">
        <v>31265.599999999999</v>
      </c>
      <c r="M154" s="693"/>
    </row>
    <row r="155" spans="1:16" ht="19.5" customHeight="1">
      <c r="A155" s="1002"/>
      <c r="B155" s="1779"/>
      <c r="C155" s="852" t="s">
        <v>414</v>
      </c>
      <c r="D155" s="853">
        <v>32847.17</v>
      </c>
      <c r="E155" s="853">
        <v>500</v>
      </c>
      <c r="F155" s="853">
        <v>4676</v>
      </c>
      <c r="G155" s="853">
        <v>0</v>
      </c>
      <c r="H155" s="853">
        <v>38023.17</v>
      </c>
      <c r="I155" s="853">
        <v>0</v>
      </c>
      <c r="J155" s="853">
        <v>481</v>
      </c>
      <c r="K155" s="853">
        <v>29131.619999999995</v>
      </c>
      <c r="L155" s="854">
        <v>67635.789999999994</v>
      </c>
      <c r="M155" s="694">
        <v>19638.310000000001</v>
      </c>
      <c r="N155" s="686">
        <v>4271.6099999999969</v>
      </c>
    </row>
    <row r="156" spans="1:16" ht="19.5" customHeight="1">
      <c r="A156" s="1002"/>
      <c r="B156" s="1779"/>
      <c r="C156" s="855" t="s">
        <v>415</v>
      </c>
      <c r="D156" s="856">
        <v>20133.002</v>
      </c>
      <c r="E156" s="856">
        <v>0</v>
      </c>
      <c r="F156" s="856">
        <v>3280.6700000000005</v>
      </c>
      <c r="G156" s="856">
        <v>0</v>
      </c>
      <c r="H156" s="856">
        <v>23413.672000000002</v>
      </c>
      <c r="I156" s="856">
        <v>1840</v>
      </c>
      <c r="J156" s="856">
        <v>1635</v>
      </c>
      <c r="K156" s="856">
        <v>666.3</v>
      </c>
      <c r="L156" s="851">
        <v>27554.972000000005</v>
      </c>
      <c r="M156" s="695"/>
    </row>
    <row r="157" spans="1:16" ht="19.5" customHeight="1">
      <c r="A157" s="1002"/>
      <c r="B157" s="1806"/>
      <c r="C157" s="860" t="s">
        <v>403</v>
      </c>
      <c r="D157" s="861">
        <v>74480.171999999991</v>
      </c>
      <c r="E157" s="861">
        <v>1400</v>
      </c>
      <c r="F157" s="861">
        <v>10806.49</v>
      </c>
      <c r="G157" s="861">
        <v>0</v>
      </c>
      <c r="H157" s="861">
        <v>86686.661999999997</v>
      </c>
      <c r="I157" s="861">
        <v>1840</v>
      </c>
      <c r="J157" s="861">
        <v>7562.5</v>
      </c>
      <c r="K157" s="861">
        <v>30367.199999999993</v>
      </c>
      <c r="L157" s="862">
        <v>126456.36199999999</v>
      </c>
    </row>
    <row r="158" spans="1:16" ht="19.5" customHeight="1">
      <c r="A158" s="1002"/>
      <c r="B158" s="195"/>
      <c r="C158" s="1027"/>
      <c r="D158" s="1028"/>
      <c r="E158" s="1028"/>
      <c r="F158" s="1028"/>
      <c r="G158" s="1028"/>
      <c r="H158" s="1028"/>
      <c r="I158" s="1028"/>
      <c r="J158" s="1028"/>
      <c r="K158" s="1028"/>
      <c r="L158" s="1028"/>
    </row>
    <row r="159" spans="1:16" ht="19.5" customHeight="1">
      <c r="A159" s="1002"/>
      <c r="B159" s="195"/>
      <c r="C159" s="1027"/>
      <c r="D159" s="1028"/>
      <c r="E159" s="1028"/>
      <c r="F159" s="1028"/>
      <c r="G159" s="1028"/>
      <c r="H159" s="1028"/>
      <c r="I159" s="1028"/>
      <c r="J159" s="1028"/>
      <c r="K159" s="1028"/>
      <c r="L159" s="1086"/>
    </row>
    <row r="160" spans="1:16" ht="19.5" customHeight="1">
      <c r="A160" s="1002"/>
      <c r="B160" s="195"/>
      <c r="C160" s="1027"/>
      <c r="D160" s="1028"/>
      <c r="E160" s="1028"/>
      <c r="F160" s="1028"/>
      <c r="G160" s="1028"/>
      <c r="H160" s="1028"/>
      <c r="I160" s="1028"/>
      <c r="J160" s="1028"/>
      <c r="K160" s="1028"/>
      <c r="L160" s="1022"/>
    </row>
    <row r="161" spans="1:16" ht="19.5" customHeight="1">
      <c r="A161" s="1002"/>
      <c r="B161" s="195"/>
      <c r="C161" s="1027"/>
      <c r="D161" s="1028"/>
      <c r="E161" s="1028"/>
      <c r="F161" s="1028"/>
      <c r="G161" s="1028"/>
      <c r="H161" s="1028"/>
      <c r="I161" s="1028"/>
      <c r="J161" s="1028"/>
      <c r="K161" s="1028"/>
      <c r="L161" s="1022"/>
    </row>
    <row r="162" spans="1:16" ht="19.5" customHeight="1">
      <c r="A162" s="1002"/>
      <c r="B162" s="1807" t="s">
        <v>1710</v>
      </c>
      <c r="C162" s="1807"/>
      <c r="D162" s="1807"/>
      <c r="E162" s="1807"/>
      <c r="F162" s="1807"/>
      <c r="G162" s="1807"/>
      <c r="H162" s="1807"/>
      <c r="I162" s="1807"/>
      <c r="J162" s="1807"/>
      <c r="K162" s="1807"/>
      <c r="L162" s="1807"/>
    </row>
    <row r="163" spans="1:16" ht="19.5" customHeight="1">
      <c r="A163" s="1002"/>
      <c r="B163" s="1807"/>
      <c r="C163" s="1807"/>
      <c r="D163" s="1807"/>
      <c r="E163" s="1807"/>
      <c r="F163" s="1807"/>
      <c r="G163" s="1807"/>
      <c r="H163" s="1807"/>
      <c r="I163" s="1807"/>
      <c r="J163" s="1807"/>
      <c r="K163" s="1807"/>
      <c r="L163" s="1807"/>
    </row>
    <row r="164" spans="1:16" ht="19.5" customHeight="1">
      <c r="A164" s="1002"/>
      <c r="B164" s="1807"/>
      <c r="C164" s="1807"/>
      <c r="D164" s="1807"/>
      <c r="E164" s="1807"/>
      <c r="F164" s="1807"/>
      <c r="G164" s="1807"/>
      <c r="H164" s="1807"/>
      <c r="I164" s="1807"/>
      <c r="J164" s="1807"/>
      <c r="K164" s="1807"/>
      <c r="L164" s="1807"/>
    </row>
    <row r="165" spans="1:16" ht="19.5" customHeight="1">
      <c r="A165" s="1002"/>
      <c r="B165" s="1783" t="s">
        <v>1700</v>
      </c>
      <c r="C165" s="1783"/>
      <c r="D165" s="1783"/>
      <c r="E165" s="1783"/>
      <c r="F165" s="1783"/>
      <c r="G165" s="1783"/>
      <c r="H165" s="1783"/>
      <c r="I165" s="1783"/>
      <c r="J165" s="1783"/>
      <c r="K165" s="1783"/>
      <c r="L165" s="1783"/>
    </row>
    <row r="166" spans="1:16" ht="19.5" customHeight="1">
      <c r="A166" s="1002"/>
      <c r="B166" s="1471"/>
      <c r="C166" s="1471"/>
      <c r="D166" s="1471"/>
      <c r="E166" s="1471"/>
      <c r="F166" s="1471"/>
      <c r="G166" s="1471"/>
      <c r="H166" s="1472"/>
      <c r="I166" s="1472"/>
      <c r="J166" s="1471"/>
      <c r="K166" s="1808" t="s">
        <v>1963</v>
      </c>
      <c r="L166" s="1808"/>
    </row>
    <row r="167" spans="1:16" ht="19.5" customHeight="1">
      <c r="A167" s="1002"/>
      <c r="B167" s="1785" t="s">
        <v>1603</v>
      </c>
      <c r="C167" s="1788" t="s">
        <v>1668</v>
      </c>
      <c r="D167" s="1791" t="s">
        <v>1669</v>
      </c>
      <c r="E167" s="1792"/>
      <c r="F167" s="1792"/>
      <c r="G167" s="1792"/>
      <c r="H167" s="1792"/>
      <c r="I167" s="1792"/>
      <c r="J167" s="1792"/>
      <c r="K167" s="1793"/>
      <c r="L167" s="1794" t="s">
        <v>403</v>
      </c>
    </row>
    <row r="168" spans="1:16" ht="19.5" customHeight="1">
      <c r="A168" s="1002"/>
      <c r="B168" s="1786"/>
      <c r="C168" s="1789"/>
      <c r="D168" s="1797" t="s">
        <v>405</v>
      </c>
      <c r="E168" s="1798"/>
      <c r="F168" s="1798"/>
      <c r="G168" s="1798"/>
      <c r="H168" s="1798"/>
      <c r="I168" s="1799" t="s">
        <v>411</v>
      </c>
      <c r="J168" s="1800" t="s">
        <v>407</v>
      </c>
      <c r="K168" s="1802" t="s">
        <v>1701</v>
      </c>
      <c r="L168" s="1795"/>
    </row>
    <row r="169" spans="1:16" ht="19.5" customHeight="1">
      <c r="A169" s="1002"/>
      <c r="B169" s="1787"/>
      <c r="C169" s="1790"/>
      <c r="D169" s="1090" t="s">
        <v>408</v>
      </c>
      <c r="E169" s="1004" t="s">
        <v>888</v>
      </c>
      <c r="F169" s="1004" t="s">
        <v>409</v>
      </c>
      <c r="G169" s="1004" t="s">
        <v>410</v>
      </c>
      <c r="H169" s="1004" t="s">
        <v>406</v>
      </c>
      <c r="I169" s="1797"/>
      <c r="J169" s="1801"/>
      <c r="K169" s="1803"/>
      <c r="L169" s="1796"/>
    </row>
    <row r="170" spans="1:16" ht="19.5" customHeight="1">
      <c r="A170" s="1002"/>
      <c r="B170" s="1777" t="s">
        <v>530</v>
      </c>
      <c r="C170" s="849" t="s">
        <v>1603</v>
      </c>
      <c r="D170" s="850">
        <v>5010</v>
      </c>
      <c r="E170" s="850">
        <v>0</v>
      </c>
      <c r="F170" s="850">
        <v>235.39999999999998</v>
      </c>
      <c r="G170" s="850">
        <v>0</v>
      </c>
      <c r="H170" s="850">
        <v>5245.4</v>
      </c>
      <c r="I170" s="850">
        <v>0</v>
      </c>
      <c r="J170" s="850">
        <v>1673.6</v>
      </c>
      <c r="K170" s="850">
        <v>56.176000000000016</v>
      </c>
      <c r="L170" s="851">
        <v>6975.1759999999995</v>
      </c>
      <c r="O170" s="696" t="s">
        <v>1031</v>
      </c>
      <c r="P170" s="686" t="s">
        <v>1032</v>
      </c>
    </row>
    <row r="171" spans="1:16" ht="19.5" customHeight="1">
      <c r="A171" s="1002"/>
      <c r="B171" s="1777"/>
      <c r="C171" s="852" t="s">
        <v>414</v>
      </c>
      <c r="D171" s="853">
        <v>3873.88</v>
      </c>
      <c r="E171" s="853">
        <v>0</v>
      </c>
      <c r="F171" s="853">
        <v>3831.3239999999996</v>
      </c>
      <c r="G171" s="853">
        <v>36.799999999999997</v>
      </c>
      <c r="H171" s="853">
        <v>7742.0039999999999</v>
      </c>
      <c r="I171" s="853">
        <v>0</v>
      </c>
      <c r="J171" s="853">
        <v>0</v>
      </c>
      <c r="K171" s="853">
        <v>8713.6839999999993</v>
      </c>
      <c r="L171" s="854">
        <v>16455.687999999998</v>
      </c>
      <c r="M171" s="687">
        <v>1600.8600000000001</v>
      </c>
      <c r="N171" s="687">
        <v>450.96605999999974</v>
      </c>
      <c r="O171" s="686">
        <v>66.959999999999994</v>
      </c>
      <c r="P171" s="687">
        <v>384.00605999999976</v>
      </c>
    </row>
    <row r="172" spans="1:16" ht="19.5" customHeight="1">
      <c r="A172" s="1002"/>
      <c r="B172" s="1777"/>
      <c r="C172" s="855" t="s">
        <v>415</v>
      </c>
      <c r="D172" s="856">
        <v>1546.8260599999999</v>
      </c>
      <c r="E172" s="856">
        <v>180.23</v>
      </c>
      <c r="F172" s="856">
        <v>0</v>
      </c>
      <c r="G172" s="856">
        <v>0</v>
      </c>
      <c r="H172" s="856">
        <v>1727.0560599999999</v>
      </c>
      <c r="I172" s="856">
        <v>127.27</v>
      </c>
      <c r="J172" s="856">
        <v>0</v>
      </c>
      <c r="K172" s="856">
        <v>250</v>
      </c>
      <c r="L172" s="851">
        <v>2104.3260599999999</v>
      </c>
    </row>
    <row r="173" spans="1:16" ht="19.5" customHeight="1">
      <c r="A173" s="1002"/>
      <c r="B173" s="1777"/>
      <c r="C173" s="857" t="s">
        <v>1702</v>
      </c>
      <c r="D173" s="858">
        <v>10430.70606</v>
      </c>
      <c r="E173" s="858">
        <v>180.23</v>
      </c>
      <c r="F173" s="858">
        <v>4066.7239999999997</v>
      </c>
      <c r="G173" s="858">
        <v>36.799999999999997</v>
      </c>
      <c r="H173" s="858">
        <v>14714.460059999998</v>
      </c>
      <c r="I173" s="858">
        <v>127.27</v>
      </c>
      <c r="J173" s="858">
        <v>1673.6</v>
      </c>
      <c r="K173" s="858">
        <v>9019.8599999999988</v>
      </c>
      <c r="L173" s="859">
        <v>25535.190059999997</v>
      </c>
    </row>
    <row r="174" spans="1:16" ht="19.5" customHeight="1">
      <c r="A174" s="1002"/>
      <c r="B174" s="1778" t="s">
        <v>524</v>
      </c>
      <c r="C174" s="855" t="s">
        <v>1603</v>
      </c>
      <c r="D174" s="856">
        <v>5972.5</v>
      </c>
      <c r="E174" s="856">
        <v>0</v>
      </c>
      <c r="F174" s="856">
        <v>0</v>
      </c>
      <c r="G174" s="856">
        <v>0</v>
      </c>
      <c r="H174" s="856">
        <v>5972.5</v>
      </c>
      <c r="I174" s="856">
        <v>0</v>
      </c>
      <c r="J174" s="856">
        <v>2479.9299999999998</v>
      </c>
      <c r="K174" s="856">
        <v>41.220000000000006</v>
      </c>
      <c r="L174" s="851">
        <v>8493.65</v>
      </c>
    </row>
    <row r="175" spans="1:16" ht="19.5" customHeight="1">
      <c r="A175" s="1002"/>
      <c r="B175" s="1779"/>
      <c r="C175" s="852" t="s">
        <v>414</v>
      </c>
      <c r="D175" s="853">
        <v>1389.45</v>
      </c>
      <c r="E175" s="853">
        <v>0</v>
      </c>
      <c r="F175" s="853">
        <v>831.82</v>
      </c>
      <c r="G175" s="853">
        <v>0</v>
      </c>
      <c r="H175" s="853">
        <v>2221.27</v>
      </c>
      <c r="I175" s="853">
        <v>0</v>
      </c>
      <c r="J175" s="853">
        <v>0</v>
      </c>
      <c r="K175" s="853">
        <v>4338.25</v>
      </c>
      <c r="L175" s="854">
        <v>6559.52</v>
      </c>
      <c r="M175" s="686">
        <v>1870.94</v>
      </c>
      <c r="N175" s="687">
        <v>243.91393999999991</v>
      </c>
      <c r="O175" s="687">
        <v>78</v>
      </c>
      <c r="P175" s="687">
        <v>165.91393999999991</v>
      </c>
    </row>
    <row r="176" spans="1:16" ht="19.5" customHeight="1">
      <c r="A176" s="1002"/>
      <c r="B176" s="1779"/>
      <c r="C176" s="855" t="s">
        <v>415</v>
      </c>
      <c r="D176" s="856">
        <v>1806.85394</v>
      </c>
      <c r="E176" s="856">
        <v>210.57</v>
      </c>
      <c r="F176" s="856">
        <v>0</v>
      </c>
      <c r="G176" s="856">
        <v>0</v>
      </c>
      <c r="H176" s="856">
        <v>2017.4239399999999</v>
      </c>
      <c r="I176" s="856">
        <v>148.72999999999999</v>
      </c>
      <c r="J176" s="856">
        <v>0</v>
      </c>
      <c r="K176" s="856">
        <v>10</v>
      </c>
      <c r="L176" s="851">
        <v>2176.1539399999997</v>
      </c>
    </row>
    <row r="177" spans="1:16" ht="19.5" customHeight="1">
      <c r="A177" s="1002"/>
      <c r="B177" s="1780"/>
      <c r="C177" s="857" t="s">
        <v>1702</v>
      </c>
      <c r="D177" s="858">
        <v>9168.8039399999998</v>
      </c>
      <c r="E177" s="858">
        <v>210.57</v>
      </c>
      <c r="F177" s="858">
        <v>831.82</v>
      </c>
      <c r="G177" s="858">
        <v>0</v>
      </c>
      <c r="H177" s="858">
        <v>10211.193940000001</v>
      </c>
      <c r="I177" s="858">
        <v>148.72999999999999</v>
      </c>
      <c r="J177" s="858">
        <v>2479.9299999999998</v>
      </c>
      <c r="K177" s="858">
        <v>4389.47</v>
      </c>
      <c r="L177" s="859">
        <v>17229.323939999998</v>
      </c>
    </row>
    <row r="178" spans="1:16" ht="19.5" customHeight="1">
      <c r="A178" s="1002"/>
      <c r="B178" s="1777" t="s">
        <v>506</v>
      </c>
      <c r="C178" s="849" t="s">
        <v>413</v>
      </c>
      <c r="D178" s="850">
        <v>5020</v>
      </c>
      <c r="E178" s="850">
        <v>0</v>
      </c>
      <c r="F178" s="850">
        <v>0</v>
      </c>
      <c r="G178" s="850">
        <v>0</v>
      </c>
      <c r="H178" s="850">
        <v>5020</v>
      </c>
      <c r="I178" s="850">
        <v>0</v>
      </c>
      <c r="J178" s="850">
        <v>3586.6</v>
      </c>
      <c r="K178" s="850">
        <v>193.88499999999993</v>
      </c>
      <c r="L178" s="851">
        <v>8800.4850000000006</v>
      </c>
    </row>
    <row r="179" spans="1:16" ht="19.5" customHeight="1">
      <c r="A179" s="1002"/>
      <c r="B179" s="1777"/>
      <c r="C179" s="852" t="s">
        <v>414</v>
      </c>
      <c r="D179" s="853">
        <v>1948.5</v>
      </c>
      <c r="E179" s="853">
        <v>0</v>
      </c>
      <c r="F179" s="853">
        <v>0</v>
      </c>
      <c r="G179" s="853">
        <v>25.2</v>
      </c>
      <c r="H179" s="853">
        <v>1973.7</v>
      </c>
      <c r="I179" s="853">
        <v>0</v>
      </c>
      <c r="J179" s="853">
        <v>0</v>
      </c>
      <c r="K179" s="853">
        <v>15323.134999999998</v>
      </c>
      <c r="L179" s="854">
        <v>17296.834999999999</v>
      </c>
      <c r="M179" s="687">
        <v>2106.2000000000003</v>
      </c>
      <c r="N179" s="687">
        <v>1421</v>
      </c>
      <c r="O179" s="687">
        <v>400</v>
      </c>
      <c r="P179" s="687">
        <v>1021</v>
      </c>
    </row>
    <row r="180" spans="1:16" ht="19.5" customHeight="1">
      <c r="A180" s="1002"/>
      <c r="B180" s="1777"/>
      <c r="C180" s="855" t="s">
        <v>415</v>
      </c>
      <c r="D180" s="856">
        <v>2877.8</v>
      </c>
      <c r="E180" s="856">
        <v>471.9</v>
      </c>
      <c r="F180" s="856">
        <v>0</v>
      </c>
      <c r="G180" s="856">
        <v>0</v>
      </c>
      <c r="H180" s="856">
        <v>3349.7000000000003</v>
      </c>
      <c r="I180" s="856">
        <v>698</v>
      </c>
      <c r="J180" s="856">
        <v>0</v>
      </c>
      <c r="K180" s="856">
        <v>0</v>
      </c>
      <c r="L180" s="851">
        <v>4047.7000000000003</v>
      </c>
    </row>
    <row r="181" spans="1:16" ht="19.5" customHeight="1">
      <c r="A181" s="1002"/>
      <c r="B181" s="1777"/>
      <c r="C181" s="857" t="s">
        <v>1702</v>
      </c>
      <c r="D181" s="858">
        <v>9846.2999999999993</v>
      </c>
      <c r="E181" s="858">
        <v>471.9</v>
      </c>
      <c r="F181" s="858">
        <v>0</v>
      </c>
      <c r="G181" s="858">
        <v>25.2</v>
      </c>
      <c r="H181" s="858">
        <v>10343.4</v>
      </c>
      <c r="I181" s="858">
        <v>698</v>
      </c>
      <c r="J181" s="858">
        <v>3586.6</v>
      </c>
      <c r="K181" s="858">
        <v>15517.019999999999</v>
      </c>
      <c r="L181" s="859">
        <v>30145.02</v>
      </c>
    </row>
    <row r="182" spans="1:16" ht="19.5" customHeight="1">
      <c r="A182" s="1002"/>
      <c r="B182" s="1778" t="s">
        <v>507</v>
      </c>
      <c r="C182" s="855" t="s">
        <v>413</v>
      </c>
      <c r="D182" s="856">
        <v>0</v>
      </c>
      <c r="E182" s="856">
        <v>0</v>
      </c>
      <c r="F182" s="856">
        <v>0</v>
      </c>
      <c r="G182" s="856">
        <v>159.96</v>
      </c>
      <c r="H182" s="856">
        <v>159.96</v>
      </c>
      <c r="I182" s="856">
        <v>0</v>
      </c>
      <c r="J182" s="856">
        <v>1856.5</v>
      </c>
      <c r="K182" s="856">
        <v>178.89600000000002</v>
      </c>
      <c r="L182" s="851">
        <v>2195.3559999999998</v>
      </c>
    </row>
    <row r="183" spans="1:16" ht="19.5" customHeight="1">
      <c r="A183" s="1002"/>
      <c r="B183" s="1779"/>
      <c r="C183" s="852" t="s">
        <v>414</v>
      </c>
      <c r="D183" s="853">
        <v>1047.5</v>
      </c>
      <c r="E183" s="853">
        <v>0</v>
      </c>
      <c r="F183" s="853">
        <v>174</v>
      </c>
      <c r="G183" s="853">
        <v>0</v>
      </c>
      <c r="H183" s="853">
        <v>1221.5</v>
      </c>
      <c r="I183" s="853">
        <v>0</v>
      </c>
      <c r="J183" s="853">
        <v>0</v>
      </c>
      <c r="K183" s="853">
        <v>344.37400000000002</v>
      </c>
      <c r="L183" s="854">
        <v>1565.874</v>
      </c>
      <c r="M183" s="687">
        <v>1627.1</v>
      </c>
      <c r="N183" s="686">
        <v>287.70000000000027</v>
      </c>
      <c r="O183" s="686">
        <v>35.04</v>
      </c>
      <c r="P183" s="686">
        <v>252.66000000000028</v>
      </c>
    </row>
    <row r="184" spans="1:16" ht="19.5" customHeight="1">
      <c r="A184" s="1002"/>
      <c r="B184" s="1779"/>
      <c r="C184" s="855" t="s">
        <v>415</v>
      </c>
      <c r="D184" s="856">
        <v>1011.424</v>
      </c>
      <c r="E184" s="856">
        <v>314.2</v>
      </c>
      <c r="F184" s="856">
        <v>359.58000000000004</v>
      </c>
      <c r="G184" s="856">
        <v>0</v>
      </c>
      <c r="H184" s="856">
        <v>1685.2040000000002</v>
      </c>
      <c r="I184" s="856">
        <v>362</v>
      </c>
      <c r="J184" s="856">
        <v>0</v>
      </c>
      <c r="K184" s="856">
        <v>50</v>
      </c>
      <c r="L184" s="851">
        <v>2097.2040000000002</v>
      </c>
    </row>
    <row r="185" spans="1:16" ht="19.5" customHeight="1">
      <c r="A185" s="1002"/>
      <c r="B185" s="1780"/>
      <c r="C185" s="857" t="s">
        <v>1702</v>
      </c>
      <c r="D185" s="858">
        <v>2058.924</v>
      </c>
      <c r="E185" s="858">
        <v>314.2</v>
      </c>
      <c r="F185" s="858">
        <v>533.58000000000004</v>
      </c>
      <c r="G185" s="858">
        <v>159.96</v>
      </c>
      <c r="H185" s="858">
        <v>3066.6640000000002</v>
      </c>
      <c r="I185" s="858">
        <v>362</v>
      </c>
      <c r="J185" s="858">
        <v>1856.5</v>
      </c>
      <c r="K185" s="858">
        <v>573.27</v>
      </c>
      <c r="L185" s="859">
        <v>5858.4339999999993</v>
      </c>
    </row>
    <row r="186" spans="1:16" ht="19.5" customHeight="1">
      <c r="A186" s="1002"/>
      <c r="B186" s="1777" t="s">
        <v>508</v>
      </c>
      <c r="C186" s="849" t="s">
        <v>413</v>
      </c>
      <c r="D186" s="850">
        <v>4320</v>
      </c>
      <c r="E186" s="850">
        <v>0</v>
      </c>
      <c r="F186" s="850">
        <v>524.08000000000004</v>
      </c>
      <c r="G186" s="850">
        <v>0</v>
      </c>
      <c r="H186" s="850">
        <v>4844.08</v>
      </c>
      <c r="I186" s="850">
        <v>0</v>
      </c>
      <c r="J186" s="850">
        <v>2178.1999999999998</v>
      </c>
      <c r="K186" s="850">
        <v>122.7</v>
      </c>
      <c r="L186" s="851">
        <v>7144.98</v>
      </c>
    </row>
    <row r="187" spans="1:16" ht="19.5" customHeight="1">
      <c r="A187" s="1002"/>
      <c r="B187" s="1777"/>
      <c r="C187" s="852" t="s">
        <v>414</v>
      </c>
      <c r="D187" s="853">
        <v>4487.67</v>
      </c>
      <c r="E187" s="853">
        <v>250</v>
      </c>
      <c r="F187" s="853">
        <v>503.1</v>
      </c>
      <c r="G187" s="853">
        <v>211.70100000000002</v>
      </c>
      <c r="H187" s="853">
        <v>5452.4710000000005</v>
      </c>
      <c r="I187" s="853">
        <v>0</v>
      </c>
      <c r="J187" s="853">
        <v>0</v>
      </c>
      <c r="K187" s="853">
        <v>14974.2</v>
      </c>
      <c r="L187" s="854">
        <v>20426.671000000002</v>
      </c>
      <c r="M187" s="687">
        <v>5175</v>
      </c>
      <c r="N187" s="686">
        <v>894.42000000000007</v>
      </c>
      <c r="O187" s="687">
        <v>100</v>
      </c>
      <c r="P187" s="686">
        <v>794.42000000000007</v>
      </c>
    </row>
    <row r="188" spans="1:16" ht="19.5" customHeight="1">
      <c r="A188" s="1002"/>
      <c r="B188" s="1777"/>
      <c r="C188" s="855" t="s">
        <v>415</v>
      </c>
      <c r="D188" s="856">
        <v>3025.3199999999997</v>
      </c>
      <c r="E188" s="856">
        <v>1517.3000000000002</v>
      </c>
      <c r="F188" s="856">
        <v>0</v>
      </c>
      <c r="G188" s="856">
        <v>0</v>
      </c>
      <c r="H188" s="856">
        <v>4542.62</v>
      </c>
      <c r="I188" s="856">
        <v>1448</v>
      </c>
      <c r="J188" s="856">
        <v>0</v>
      </c>
      <c r="K188" s="856">
        <v>231.9</v>
      </c>
      <c r="L188" s="851">
        <v>6222.52</v>
      </c>
    </row>
    <row r="189" spans="1:16" ht="19.5" customHeight="1">
      <c r="A189" s="1002"/>
      <c r="B189" s="1777"/>
      <c r="C189" s="857" t="s">
        <v>1702</v>
      </c>
      <c r="D189" s="858">
        <v>11832.99</v>
      </c>
      <c r="E189" s="858">
        <v>1767.3000000000002</v>
      </c>
      <c r="F189" s="858">
        <v>1027.18</v>
      </c>
      <c r="G189" s="858">
        <v>211.70100000000002</v>
      </c>
      <c r="H189" s="858">
        <v>14839.170999999998</v>
      </c>
      <c r="I189" s="858">
        <v>1448</v>
      </c>
      <c r="J189" s="858">
        <v>2178.1999999999998</v>
      </c>
      <c r="K189" s="858">
        <v>15328.800000000001</v>
      </c>
      <c r="L189" s="859">
        <v>33794.171000000002</v>
      </c>
    </row>
    <row r="190" spans="1:16" ht="19.5" customHeight="1">
      <c r="A190" s="1002"/>
      <c r="B190" s="1778" t="s">
        <v>525</v>
      </c>
      <c r="C190" s="855" t="s">
        <v>413</v>
      </c>
      <c r="D190" s="856">
        <v>0</v>
      </c>
      <c r="E190" s="856">
        <v>0</v>
      </c>
      <c r="F190" s="856">
        <v>0</v>
      </c>
      <c r="G190" s="856">
        <v>0</v>
      </c>
      <c r="H190" s="856">
        <v>0</v>
      </c>
      <c r="I190" s="856">
        <v>0</v>
      </c>
      <c r="J190" s="856">
        <v>0</v>
      </c>
      <c r="K190" s="856">
        <v>0</v>
      </c>
      <c r="L190" s="851">
        <v>0</v>
      </c>
    </row>
    <row r="191" spans="1:16" ht="19.5" customHeight="1">
      <c r="A191" s="1002"/>
      <c r="B191" s="1779"/>
      <c r="C191" s="852" t="s">
        <v>414</v>
      </c>
      <c r="D191" s="853">
        <v>0</v>
      </c>
      <c r="E191" s="853">
        <v>0</v>
      </c>
      <c r="F191" s="853">
        <v>0</v>
      </c>
      <c r="G191" s="853">
        <v>0</v>
      </c>
      <c r="H191" s="853">
        <v>0</v>
      </c>
      <c r="I191" s="853">
        <v>0</v>
      </c>
      <c r="J191" s="853">
        <v>0</v>
      </c>
      <c r="K191" s="853">
        <v>0</v>
      </c>
      <c r="L191" s="854">
        <v>0</v>
      </c>
      <c r="M191" s="687">
        <v>100</v>
      </c>
      <c r="N191" s="687">
        <v>0</v>
      </c>
      <c r="O191" s="687">
        <v>0</v>
      </c>
      <c r="P191" s="687">
        <v>0</v>
      </c>
    </row>
    <row r="192" spans="1:16" ht="19.5" customHeight="1">
      <c r="A192" s="1002"/>
      <c r="B192" s="1779"/>
      <c r="C192" s="855" t="s">
        <v>415</v>
      </c>
      <c r="D192" s="856">
        <v>0</v>
      </c>
      <c r="E192" s="856">
        <v>166</v>
      </c>
      <c r="F192" s="856">
        <v>0</v>
      </c>
      <c r="G192" s="856">
        <v>0</v>
      </c>
      <c r="H192" s="856">
        <v>166</v>
      </c>
      <c r="I192" s="856">
        <v>0</v>
      </c>
      <c r="J192" s="856">
        <v>0</v>
      </c>
      <c r="K192" s="856">
        <v>0</v>
      </c>
      <c r="L192" s="851">
        <v>166</v>
      </c>
      <c r="N192" s="687"/>
      <c r="O192" s="687"/>
      <c r="P192" s="687"/>
    </row>
    <row r="193" spans="1:16" ht="19.5" customHeight="1">
      <c r="A193" s="1002"/>
      <c r="B193" s="1780"/>
      <c r="C193" s="857" t="s">
        <v>1702</v>
      </c>
      <c r="D193" s="858">
        <v>0</v>
      </c>
      <c r="E193" s="858">
        <v>166</v>
      </c>
      <c r="F193" s="858">
        <v>0</v>
      </c>
      <c r="G193" s="858">
        <v>0</v>
      </c>
      <c r="H193" s="858">
        <v>166</v>
      </c>
      <c r="I193" s="858">
        <v>0</v>
      </c>
      <c r="J193" s="858">
        <v>0</v>
      </c>
      <c r="K193" s="858">
        <v>0</v>
      </c>
      <c r="L193" s="859">
        <v>166</v>
      </c>
      <c r="N193" s="687"/>
      <c r="O193" s="687"/>
      <c r="P193" s="687"/>
    </row>
    <row r="194" spans="1:16" ht="19.5" customHeight="1">
      <c r="A194" s="1002"/>
      <c r="B194" s="1777" t="s">
        <v>509</v>
      </c>
      <c r="C194" s="849" t="s">
        <v>413</v>
      </c>
      <c r="D194" s="850">
        <v>0</v>
      </c>
      <c r="E194" s="850">
        <v>0</v>
      </c>
      <c r="F194" s="850">
        <v>32.5</v>
      </c>
      <c r="G194" s="850">
        <v>0</v>
      </c>
      <c r="H194" s="850">
        <v>32.5</v>
      </c>
      <c r="I194" s="850">
        <v>0</v>
      </c>
      <c r="J194" s="850">
        <v>0</v>
      </c>
      <c r="K194" s="850">
        <v>0</v>
      </c>
      <c r="L194" s="851">
        <v>32.5</v>
      </c>
      <c r="N194" s="687"/>
      <c r="O194" s="687"/>
      <c r="P194" s="687"/>
    </row>
    <row r="195" spans="1:16" ht="19.5" customHeight="1">
      <c r="A195" s="1002"/>
      <c r="B195" s="1777"/>
      <c r="C195" s="852" t="s">
        <v>414</v>
      </c>
      <c r="D195" s="853">
        <v>0</v>
      </c>
      <c r="E195" s="853">
        <v>0</v>
      </c>
      <c r="F195" s="853">
        <v>0</v>
      </c>
      <c r="G195" s="853">
        <v>0</v>
      </c>
      <c r="H195" s="853">
        <v>0</v>
      </c>
      <c r="I195" s="853">
        <v>0</v>
      </c>
      <c r="J195" s="853">
        <v>0</v>
      </c>
      <c r="K195" s="853">
        <v>9.33</v>
      </c>
      <c r="L195" s="854">
        <v>9.33</v>
      </c>
      <c r="M195" s="687">
        <v>300.89999999999998</v>
      </c>
      <c r="N195" s="687">
        <v>33.5</v>
      </c>
      <c r="O195" s="687">
        <v>0</v>
      </c>
      <c r="P195" s="687">
        <v>33.5</v>
      </c>
    </row>
    <row r="196" spans="1:16" ht="19.5" customHeight="1">
      <c r="A196" s="1002"/>
      <c r="B196" s="1777"/>
      <c r="C196" s="855" t="s">
        <v>415</v>
      </c>
      <c r="D196" s="856">
        <v>140.80000000000001</v>
      </c>
      <c r="E196" s="856">
        <v>111.8</v>
      </c>
      <c r="F196" s="856">
        <v>0</v>
      </c>
      <c r="G196" s="856">
        <v>0</v>
      </c>
      <c r="H196" s="856">
        <v>252.60000000000002</v>
      </c>
      <c r="I196" s="856">
        <v>86</v>
      </c>
      <c r="J196" s="856">
        <v>0</v>
      </c>
      <c r="K196" s="856">
        <v>0</v>
      </c>
      <c r="L196" s="851">
        <v>338.6</v>
      </c>
    </row>
    <row r="197" spans="1:16" ht="19.5" customHeight="1">
      <c r="A197" s="1002"/>
      <c r="B197" s="1777"/>
      <c r="C197" s="857" t="s">
        <v>1702</v>
      </c>
      <c r="D197" s="858">
        <v>140.80000000000001</v>
      </c>
      <c r="E197" s="858">
        <v>111.8</v>
      </c>
      <c r="F197" s="858">
        <v>32.5</v>
      </c>
      <c r="G197" s="858">
        <v>0</v>
      </c>
      <c r="H197" s="858">
        <v>285.10000000000002</v>
      </c>
      <c r="I197" s="858">
        <v>86</v>
      </c>
      <c r="J197" s="858">
        <v>0</v>
      </c>
      <c r="K197" s="858">
        <v>9.33</v>
      </c>
      <c r="L197" s="859">
        <v>380.43</v>
      </c>
      <c r="M197" s="697">
        <v>1724</v>
      </c>
      <c r="N197" s="697">
        <v>510</v>
      </c>
      <c r="O197" s="697">
        <v>120</v>
      </c>
      <c r="P197" s="687">
        <v>390</v>
      </c>
    </row>
    <row r="198" spans="1:16" ht="19.5" customHeight="1">
      <c r="A198" s="1002"/>
      <c r="B198" s="1804" t="s">
        <v>1705</v>
      </c>
      <c r="C198" s="1805"/>
      <c r="D198" s="880">
        <v>1426</v>
      </c>
      <c r="E198" s="880">
        <v>418</v>
      </c>
      <c r="F198" s="880">
        <v>0</v>
      </c>
      <c r="G198" s="880">
        <v>0</v>
      </c>
      <c r="H198" s="880">
        <v>1844</v>
      </c>
      <c r="I198" s="880">
        <v>450</v>
      </c>
      <c r="J198" s="880">
        <v>0</v>
      </c>
      <c r="K198" s="880">
        <v>0</v>
      </c>
      <c r="L198" s="881">
        <v>2294</v>
      </c>
      <c r="M198" s="698"/>
      <c r="N198" s="698"/>
      <c r="O198" s="698"/>
    </row>
    <row r="199" spans="1:16" ht="19.5" customHeight="1">
      <c r="A199" s="1002"/>
      <c r="B199" s="1778" t="s">
        <v>1711</v>
      </c>
      <c r="C199" s="855" t="s">
        <v>413</v>
      </c>
      <c r="D199" s="856">
        <v>20322.5</v>
      </c>
      <c r="E199" s="856">
        <v>0</v>
      </c>
      <c r="F199" s="856">
        <v>791.98</v>
      </c>
      <c r="G199" s="856">
        <v>159.96</v>
      </c>
      <c r="H199" s="856">
        <v>21274.44</v>
      </c>
      <c r="I199" s="856">
        <v>0</v>
      </c>
      <c r="J199" s="856">
        <v>11774.83</v>
      </c>
      <c r="K199" s="856">
        <v>592.87700000000007</v>
      </c>
      <c r="L199" s="851">
        <v>33642.146999999997</v>
      </c>
      <c r="M199" s="698"/>
      <c r="N199" s="698"/>
      <c r="O199" s="698"/>
    </row>
    <row r="200" spans="1:16" ht="19.5" customHeight="1">
      <c r="A200" s="1002"/>
      <c r="B200" s="1779"/>
      <c r="C200" s="852" t="s">
        <v>414</v>
      </c>
      <c r="D200" s="853">
        <v>12747</v>
      </c>
      <c r="E200" s="853">
        <v>250</v>
      </c>
      <c r="F200" s="853">
        <v>5340.2439999999997</v>
      </c>
      <c r="G200" s="853">
        <v>273.70100000000002</v>
      </c>
      <c r="H200" s="853">
        <v>18610.945</v>
      </c>
      <c r="I200" s="853">
        <v>0</v>
      </c>
      <c r="J200" s="853">
        <v>0</v>
      </c>
      <c r="K200" s="853">
        <v>43702.972999999998</v>
      </c>
      <c r="L200" s="854">
        <v>62313.917999999998</v>
      </c>
      <c r="M200" s="697">
        <v>14505</v>
      </c>
      <c r="N200" s="697">
        <v>3841.5</v>
      </c>
      <c r="O200" s="697">
        <v>800</v>
      </c>
      <c r="P200" s="687">
        <v>3041.5</v>
      </c>
    </row>
    <row r="201" spans="1:16" ht="19.5" customHeight="1">
      <c r="A201" s="1002"/>
      <c r="B201" s="1779"/>
      <c r="C201" s="855" t="s">
        <v>415</v>
      </c>
      <c r="D201" s="856">
        <v>11835.024000000001</v>
      </c>
      <c r="E201" s="856">
        <v>3390.0000000000005</v>
      </c>
      <c r="F201" s="856">
        <v>359.58000000000004</v>
      </c>
      <c r="G201" s="856">
        <v>0</v>
      </c>
      <c r="H201" s="856">
        <v>15584.604000000001</v>
      </c>
      <c r="I201" s="856">
        <v>3320</v>
      </c>
      <c r="J201" s="856">
        <v>0</v>
      </c>
      <c r="K201" s="856">
        <v>541.9</v>
      </c>
      <c r="L201" s="851">
        <v>19446.504000000001</v>
      </c>
      <c r="M201" s="687"/>
    </row>
    <row r="202" spans="1:16" ht="19.5" customHeight="1">
      <c r="A202" s="1002"/>
      <c r="B202" s="1806"/>
      <c r="C202" s="860" t="s">
        <v>403</v>
      </c>
      <c r="D202" s="861">
        <v>44904.524000000005</v>
      </c>
      <c r="E202" s="861">
        <v>3640.0000000000005</v>
      </c>
      <c r="F202" s="861">
        <v>6491.8040000000001</v>
      </c>
      <c r="G202" s="861">
        <v>433.66100000000006</v>
      </c>
      <c r="H202" s="861">
        <v>55469.988999999994</v>
      </c>
      <c r="I202" s="861">
        <v>3320</v>
      </c>
      <c r="J202" s="861">
        <v>11774.83</v>
      </c>
      <c r="K202" s="861">
        <v>44837.75</v>
      </c>
      <c r="L202" s="862">
        <v>115402.569</v>
      </c>
    </row>
    <row r="203" spans="1:16" ht="19.5" customHeight="1">
      <c r="A203" s="1002"/>
      <c r="B203" s="195"/>
      <c r="C203" s="195"/>
      <c r="D203" s="1029"/>
      <c r="E203" s="1029"/>
      <c r="F203" s="1029"/>
      <c r="G203" s="1029"/>
      <c r="H203" s="1029"/>
      <c r="I203" s="1029"/>
      <c r="J203" s="1029"/>
      <c r="K203" s="1029"/>
      <c r="L203" s="1087"/>
    </row>
    <row r="204" spans="1:16" ht="19.5" customHeight="1">
      <c r="A204" s="1002"/>
      <c r="B204" s="195"/>
      <c r="C204" s="195"/>
      <c r="D204" s="1029"/>
      <c r="E204" s="1029"/>
      <c r="F204" s="1029"/>
      <c r="G204" s="1029"/>
      <c r="H204" s="1029"/>
      <c r="I204" s="1029"/>
      <c r="J204" s="1029"/>
      <c r="K204" s="1029"/>
      <c r="L204" s="1022"/>
    </row>
    <row r="205" spans="1:16" ht="19.5" customHeight="1">
      <c r="A205" s="1002"/>
      <c r="B205" s="1807" t="s">
        <v>1712</v>
      </c>
      <c r="C205" s="1807"/>
      <c r="D205" s="1807"/>
      <c r="E205" s="1807"/>
      <c r="F205" s="1807"/>
      <c r="G205" s="1807"/>
      <c r="H205" s="1807"/>
      <c r="I205" s="1807"/>
      <c r="J205" s="1807"/>
      <c r="K205" s="1807"/>
      <c r="L205" s="1807"/>
    </row>
    <row r="206" spans="1:16" ht="19.5" customHeight="1">
      <c r="A206" s="1002"/>
      <c r="B206" s="1807"/>
      <c r="C206" s="1807"/>
      <c r="D206" s="1807"/>
      <c r="E206" s="1807"/>
      <c r="F206" s="1807"/>
      <c r="G206" s="1807"/>
      <c r="H206" s="1807"/>
      <c r="I206" s="1807"/>
      <c r="J206" s="1807"/>
      <c r="K206" s="1807"/>
      <c r="L206" s="1807"/>
    </row>
    <row r="207" spans="1:16" ht="19.5" customHeight="1">
      <c r="A207" s="1002"/>
      <c r="B207" s="1807"/>
      <c r="C207" s="1807"/>
      <c r="D207" s="1807"/>
      <c r="E207" s="1807"/>
      <c r="F207" s="1807"/>
      <c r="G207" s="1807"/>
      <c r="H207" s="1807"/>
      <c r="I207" s="1807"/>
      <c r="J207" s="1807"/>
      <c r="K207" s="1807"/>
      <c r="L207" s="1807"/>
    </row>
    <row r="208" spans="1:16" ht="19.5" customHeight="1">
      <c r="A208" s="1002"/>
      <c r="B208" s="1783" t="s">
        <v>1700</v>
      </c>
      <c r="C208" s="1783"/>
      <c r="D208" s="1783"/>
      <c r="E208" s="1783"/>
      <c r="F208" s="1783"/>
      <c r="G208" s="1783"/>
      <c r="H208" s="1783"/>
      <c r="I208" s="1783"/>
      <c r="J208" s="1783"/>
      <c r="K208" s="1783"/>
      <c r="L208" s="1783"/>
    </row>
    <row r="209" spans="1:14" ht="19.5" customHeight="1">
      <c r="A209" s="1002"/>
      <c r="B209" s="1471"/>
      <c r="C209" s="1471"/>
      <c r="D209" s="1471"/>
      <c r="E209" s="1471"/>
      <c r="F209" s="1471"/>
      <c r="G209" s="1471"/>
      <c r="H209" s="1472"/>
      <c r="I209" s="1472"/>
      <c r="J209" s="1471"/>
      <c r="K209" s="1784" t="s">
        <v>1963</v>
      </c>
      <c r="L209" s="1784"/>
    </row>
    <row r="210" spans="1:14" ht="19.5" customHeight="1">
      <c r="A210" s="1002"/>
      <c r="B210" s="1785" t="s">
        <v>1603</v>
      </c>
      <c r="C210" s="1788" t="s">
        <v>1668</v>
      </c>
      <c r="D210" s="1791" t="s">
        <v>1669</v>
      </c>
      <c r="E210" s="1792"/>
      <c r="F210" s="1792"/>
      <c r="G210" s="1792"/>
      <c r="H210" s="1792"/>
      <c r="I210" s="1792"/>
      <c r="J210" s="1792"/>
      <c r="K210" s="1793"/>
      <c r="L210" s="1794" t="s">
        <v>403</v>
      </c>
    </row>
    <row r="211" spans="1:14" ht="19.5" customHeight="1">
      <c r="A211" s="1002"/>
      <c r="B211" s="1786"/>
      <c r="C211" s="1789"/>
      <c r="D211" s="1797" t="s">
        <v>405</v>
      </c>
      <c r="E211" s="1798"/>
      <c r="F211" s="1798"/>
      <c r="G211" s="1798"/>
      <c r="H211" s="1798"/>
      <c r="I211" s="1799" t="s">
        <v>411</v>
      </c>
      <c r="J211" s="1800" t="s">
        <v>407</v>
      </c>
      <c r="K211" s="1802" t="s">
        <v>1701</v>
      </c>
      <c r="L211" s="1795"/>
    </row>
    <row r="212" spans="1:14" ht="19.5" customHeight="1">
      <c r="A212" s="1002"/>
      <c r="B212" s="1787"/>
      <c r="C212" s="1790"/>
      <c r="D212" s="1090" t="s">
        <v>408</v>
      </c>
      <c r="E212" s="1004" t="s">
        <v>888</v>
      </c>
      <c r="F212" s="1004" t="s">
        <v>409</v>
      </c>
      <c r="G212" s="1004" t="s">
        <v>410</v>
      </c>
      <c r="H212" s="1004" t="s">
        <v>406</v>
      </c>
      <c r="I212" s="1797"/>
      <c r="J212" s="1801"/>
      <c r="K212" s="1803"/>
      <c r="L212" s="1796"/>
    </row>
    <row r="213" spans="1:14" ht="19.5" customHeight="1">
      <c r="A213" s="1002"/>
      <c r="B213" s="1777" t="s">
        <v>499</v>
      </c>
      <c r="C213" s="849" t="s">
        <v>413</v>
      </c>
      <c r="D213" s="850">
        <v>0</v>
      </c>
      <c r="E213" s="850">
        <v>0</v>
      </c>
      <c r="F213" s="850">
        <v>0</v>
      </c>
      <c r="G213" s="850">
        <v>0</v>
      </c>
      <c r="H213" s="850">
        <v>0</v>
      </c>
      <c r="I213" s="850">
        <v>0</v>
      </c>
      <c r="J213" s="850">
        <v>0</v>
      </c>
      <c r="K213" s="850">
        <v>70.7</v>
      </c>
      <c r="L213" s="851">
        <v>70.7</v>
      </c>
    </row>
    <row r="214" spans="1:14" ht="19.5" customHeight="1">
      <c r="A214" s="1002"/>
      <c r="B214" s="1777"/>
      <c r="C214" s="852" t="s">
        <v>414</v>
      </c>
      <c r="D214" s="853">
        <v>700</v>
      </c>
      <c r="E214" s="853">
        <v>0</v>
      </c>
      <c r="F214" s="853">
        <v>0</v>
      </c>
      <c r="G214" s="853">
        <v>0</v>
      </c>
      <c r="H214" s="853">
        <v>700</v>
      </c>
      <c r="I214" s="853">
        <v>0</v>
      </c>
      <c r="J214" s="853">
        <v>0</v>
      </c>
      <c r="K214" s="853">
        <v>294.18</v>
      </c>
      <c r="L214" s="854">
        <v>994.18000000000006</v>
      </c>
      <c r="M214" s="687">
        <v>2756</v>
      </c>
      <c r="N214" s="687">
        <v>1203.3249000000001</v>
      </c>
    </row>
    <row r="215" spans="1:14" ht="19.5" customHeight="1">
      <c r="A215" s="1002"/>
      <c r="B215" s="1777"/>
      <c r="C215" s="855" t="s">
        <v>415</v>
      </c>
      <c r="D215" s="856">
        <v>5155.8899999999994</v>
      </c>
      <c r="E215" s="856">
        <v>0</v>
      </c>
      <c r="F215" s="856">
        <v>0</v>
      </c>
      <c r="G215" s="856">
        <v>0</v>
      </c>
      <c r="H215" s="856">
        <v>5155.8899999999994</v>
      </c>
      <c r="I215" s="856">
        <v>0</v>
      </c>
      <c r="J215" s="856">
        <v>109.99890000000001</v>
      </c>
      <c r="K215" s="856">
        <v>0</v>
      </c>
      <c r="L215" s="851">
        <v>5265.888899999999</v>
      </c>
      <c r="M215" s="687"/>
    </row>
    <row r="216" spans="1:14" ht="19.5" customHeight="1">
      <c r="A216" s="1002"/>
      <c r="B216" s="1777"/>
      <c r="C216" s="857" t="s">
        <v>1702</v>
      </c>
      <c r="D216" s="858">
        <v>5855.8899999999994</v>
      </c>
      <c r="E216" s="858">
        <v>0</v>
      </c>
      <c r="F216" s="858">
        <v>0</v>
      </c>
      <c r="G216" s="858">
        <v>0</v>
      </c>
      <c r="H216" s="858">
        <v>5855.8899999999994</v>
      </c>
      <c r="I216" s="858">
        <v>0</v>
      </c>
      <c r="J216" s="858">
        <v>109.99890000000001</v>
      </c>
      <c r="K216" s="858">
        <v>364.88</v>
      </c>
      <c r="L216" s="859">
        <v>6330.7688999999991</v>
      </c>
    </row>
    <row r="217" spans="1:14" ht="19.5" customHeight="1">
      <c r="A217" s="1002"/>
      <c r="B217" s="1778" t="s">
        <v>511</v>
      </c>
      <c r="C217" s="855" t="s">
        <v>413</v>
      </c>
      <c r="D217" s="856">
        <v>420</v>
      </c>
      <c r="E217" s="856">
        <v>0</v>
      </c>
      <c r="F217" s="856">
        <v>0</v>
      </c>
      <c r="G217" s="856">
        <v>0</v>
      </c>
      <c r="H217" s="856">
        <v>420</v>
      </c>
      <c r="I217" s="856">
        <v>0</v>
      </c>
      <c r="J217" s="856">
        <v>130</v>
      </c>
      <c r="K217" s="856">
        <v>4.05</v>
      </c>
      <c r="L217" s="851">
        <v>554.04999999999995</v>
      </c>
    </row>
    <row r="218" spans="1:14" ht="19.5" customHeight="1">
      <c r="A218" s="1002"/>
      <c r="B218" s="1779"/>
      <c r="C218" s="852" t="s">
        <v>414</v>
      </c>
      <c r="D218" s="853">
        <v>580</v>
      </c>
      <c r="E218" s="853">
        <v>0</v>
      </c>
      <c r="F218" s="853">
        <v>0</v>
      </c>
      <c r="G218" s="853">
        <v>0</v>
      </c>
      <c r="H218" s="853">
        <v>580</v>
      </c>
      <c r="I218" s="853">
        <v>0</v>
      </c>
      <c r="J218" s="853">
        <v>0</v>
      </c>
      <c r="K218" s="853">
        <v>56.36</v>
      </c>
      <c r="L218" s="854">
        <v>636.36</v>
      </c>
      <c r="M218" s="686">
        <v>343</v>
      </c>
      <c r="N218" s="687">
        <v>111.74099999999993</v>
      </c>
    </row>
    <row r="219" spans="1:14" ht="19.5" customHeight="1">
      <c r="A219" s="1002"/>
      <c r="B219" s="1779"/>
      <c r="C219" s="855" t="s">
        <v>415</v>
      </c>
      <c r="D219" s="856">
        <v>1296.462</v>
      </c>
      <c r="E219" s="856">
        <v>0</v>
      </c>
      <c r="F219" s="856">
        <v>0</v>
      </c>
      <c r="G219" s="856">
        <v>0</v>
      </c>
      <c r="H219" s="856">
        <v>1296.462</v>
      </c>
      <c r="I219" s="856">
        <v>0</v>
      </c>
      <c r="J219" s="856">
        <v>60.998999999999988</v>
      </c>
      <c r="K219" s="856">
        <v>0</v>
      </c>
      <c r="L219" s="851">
        <v>1357.461</v>
      </c>
    </row>
    <row r="220" spans="1:14" ht="19.5" customHeight="1">
      <c r="A220" s="1002"/>
      <c r="B220" s="1780"/>
      <c r="C220" s="857" t="s">
        <v>1702</v>
      </c>
      <c r="D220" s="858">
        <v>2296.462</v>
      </c>
      <c r="E220" s="858">
        <v>0</v>
      </c>
      <c r="F220" s="858">
        <v>0</v>
      </c>
      <c r="G220" s="858">
        <v>0</v>
      </c>
      <c r="H220" s="858">
        <v>2296.462</v>
      </c>
      <c r="I220" s="858">
        <v>0</v>
      </c>
      <c r="J220" s="858">
        <v>190.999</v>
      </c>
      <c r="K220" s="858">
        <v>60.41</v>
      </c>
      <c r="L220" s="859">
        <v>2547.8710000000001</v>
      </c>
    </row>
    <row r="221" spans="1:14" ht="19.5" customHeight="1">
      <c r="A221" s="1002"/>
      <c r="B221" s="1777" t="s">
        <v>484</v>
      </c>
      <c r="C221" s="849" t="s">
        <v>413</v>
      </c>
      <c r="D221" s="850">
        <v>5290</v>
      </c>
      <c r="E221" s="850">
        <v>0</v>
      </c>
      <c r="F221" s="850">
        <v>100</v>
      </c>
      <c r="G221" s="850">
        <v>0</v>
      </c>
      <c r="H221" s="850">
        <v>5390</v>
      </c>
      <c r="I221" s="850">
        <v>0</v>
      </c>
      <c r="J221" s="850">
        <v>986</v>
      </c>
      <c r="K221" s="850">
        <v>121.95</v>
      </c>
      <c r="L221" s="851">
        <v>6497.95</v>
      </c>
    </row>
    <row r="222" spans="1:14" ht="19.5" customHeight="1">
      <c r="A222" s="1002"/>
      <c r="B222" s="1777"/>
      <c r="C222" s="852" t="s">
        <v>414</v>
      </c>
      <c r="D222" s="853">
        <v>2437</v>
      </c>
      <c r="E222" s="853">
        <v>0</v>
      </c>
      <c r="F222" s="853">
        <v>0</v>
      </c>
      <c r="G222" s="853">
        <v>0</v>
      </c>
      <c r="H222" s="853">
        <v>2437</v>
      </c>
      <c r="I222" s="853">
        <v>0</v>
      </c>
      <c r="J222" s="853">
        <v>0</v>
      </c>
      <c r="K222" s="853">
        <v>446.31000000000006</v>
      </c>
      <c r="L222" s="854">
        <v>2883.31</v>
      </c>
      <c r="M222" s="686">
        <v>1137</v>
      </c>
      <c r="N222" s="687">
        <v>33.769000000000005</v>
      </c>
    </row>
    <row r="223" spans="1:14" ht="19.5" customHeight="1">
      <c r="A223" s="1002"/>
      <c r="B223" s="1777"/>
      <c r="C223" s="855" t="s">
        <v>415</v>
      </c>
      <c r="D223" s="856">
        <v>1245.6199999999999</v>
      </c>
      <c r="E223" s="856">
        <v>0</v>
      </c>
      <c r="F223" s="856">
        <v>0</v>
      </c>
      <c r="G223" s="856">
        <v>0</v>
      </c>
      <c r="H223" s="856">
        <v>1245.6199999999999</v>
      </c>
      <c r="I223" s="856">
        <v>0</v>
      </c>
      <c r="J223" s="856">
        <v>409.99900000000002</v>
      </c>
      <c r="K223" s="856">
        <v>0</v>
      </c>
      <c r="L223" s="851">
        <v>1655.6189999999999</v>
      </c>
    </row>
    <row r="224" spans="1:14" ht="19.5" customHeight="1">
      <c r="A224" s="1002"/>
      <c r="B224" s="1777"/>
      <c r="C224" s="857" t="s">
        <v>1702</v>
      </c>
      <c r="D224" s="858">
        <v>8972.619999999999</v>
      </c>
      <c r="E224" s="858">
        <v>0</v>
      </c>
      <c r="F224" s="858">
        <v>100</v>
      </c>
      <c r="G224" s="858">
        <v>0</v>
      </c>
      <c r="H224" s="858">
        <v>9072.619999999999</v>
      </c>
      <c r="I224" s="858">
        <v>0</v>
      </c>
      <c r="J224" s="858">
        <v>1395.999</v>
      </c>
      <c r="K224" s="858">
        <v>568.2600000000001</v>
      </c>
      <c r="L224" s="859">
        <v>11036.879000000001</v>
      </c>
    </row>
    <row r="225" spans="1:17" ht="19.5" customHeight="1">
      <c r="A225" s="1002"/>
      <c r="B225" s="1778" t="s">
        <v>9</v>
      </c>
      <c r="C225" s="855" t="s">
        <v>413</v>
      </c>
      <c r="D225" s="856">
        <v>0</v>
      </c>
      <c r="E225" s="856">
        <v>0</v>
      </c>
      <c r="F225" s="856">
        <v>0</v>
      </c>
      <c r="G225" s="856">
        <v>0</v>
      </c>
      <c r="H225" s="856">
        <v>0</v>
      </c>
      <c r="I225" s="856">
        <v>0</v>
      </c>
      <c r="J225" s="856">
        <v>0</v>
      </c>
      <c r="K225" s="856">
        <v>0</v>
      </c>
      <c r="L225" s="851">
        <v>0</v>
      </c>
    </row>
    <row r="226" spans="1:17" ht="19.5" customHeight="1">
      <c r="A226" s="1002"/>
      <c r="B226" s="1779"/>
      <c r="C226" s="852" t="s">
        <v>414</v>
      </c>
      <c r="D226" s="853">
        <v>150</v>
      </c>
      <c r="E226" s="853">
        <v>0</v>
      </c>
      <c r="F226" s="853">
        <v>0</v>
      </c>
      <c r="G226" s="853">
        <v>0</v>
      </c>
      <c r="H226" s="853">
        <v>150</v>
      </c>
      <c r="I226" s="853">
        <v>0</v>
      </c>
      <c r="J226" s="853">
        <v>0</v>
      </c>
      <c r="K226" s="853">
        <v>0</v>
      </c>
      <c r="L226" s="854">
        <v>150</v>
      </c>
      <c r="M226" s="686">
        <v>7711</v>
      </c>
      <c r="N226" s="687">
        <v>-539.76010000000042</v>
      </c>
    </row>
    <row r="227" spans="1:17" ht="19.5" customHeight="1">
      <c r="A227" s="1002"/>
      <c r="B227" s="1779"/>
      <c r="C227" s="855" t="s">
        <v>415</v>
      </c>
      <c r="D227" s="856">
        <v>3097.0149999999999</v>
      </c>
      <c r="E227" s="856">
        <v>0</v>
      </c>
      <c r="F227" s="856">
        <v>0</v>
      </c>
      <c r="G227" s="856">
        <v>0</v>
      </c>
      <c r="H227" s="856">
        <v>3097.0149999999999</v>
      </c>
      <c r="I227" s="856">
        <v>0</v>
      </c>
      <c r="J227" s="856">
        <v>186.19989999999999</v>
      </c>
      <c r="K227" s="856">
        <v>0</v>
      </c>
      <c r="L227" s="851">
        <v>3283.2148999999999</v>
      </c>
    </row>
    <row r="228" spans="1:17" ht="19.5" customHeight="1">
      <c r="A228" s="1002"/>
      <c r="B228" s="1780"/>
      <c r="C228" s="857" t="s">
        <v>1702</v>
      </c>
      <c r="D228" s="858">
        <v>3247.0149999999999</v>
      </c>
      <c r="E228" s="858">
        <v>0</v>
      </c>
      <c r="F228" s="858">
        <v>0</v>
      </c>
      <c r="G228" s="858">
        <v>0</v>
      </c>
      <c r="H228" s="858">
        <v>3247.0149999999999</v>
      </c>
      <c r="I228" s="858">
        <v>0</v>
      </c>
      <c r="J228" s="858">
        <v>186.19989999999999</v>
      </c>
      <c r="K228" s="858">
        <v>0</v>
      </c>
      <c r="L228" s="859">
        <v>3433.2148999999999</v>
      </c>
    </row>
    <row r="229" spans="1:17" ht="19.5" customHeight="1">
      <c r="A229" s="1002"/>
      <c r="B229" s="1777" t="s">
        <v>472</v>
      </c>
      <c r="C229" s="849" t="s">
        <v>413</v>
      </c>
      <c r="D229" s="850">
        <v>1740</v>
      </c>
      <c r="E229" s="850">
        <v>0</v>
      </c>
      <c r="F229" s="850">
        <v>0</v>
      </c>
      <c r="G229" s="850">
        <v>0</v>
      </c>
      <c r="H229" s="850">
        <v>1740</v>
      </c>
      <c r="I229" s="850">
        <v>0</v>
      </c>
      <c r="J229" s="850">
        <v>2061.92</v>
      </c>
      <c r="K229" s="850">
        <v>26.299999999999997</v>
      </c>
      <c r="L229" s="851">
        <v>3828.2200000000003</v>
      </c>
    </row>
    <row r="230" spans="1:17" ht="19.5" customHeight="1">
      <c r="A230" s="1002"/>
      <c r="B230" s="1777"/>
      <c r="C230" s="852" t="s">
        <v>414</v>
      </c>
      <c r="D230" s="853">
        <v>2286</v>
      </c>
      <c r="E230" s="853">
        <v>0</v>
      </c>
      <c r="F230" s="853">
        <v>0</v>
      </c>
      <c r="G230" s="853">
        <v>0</v>
      </c>
      <c r="H230" s="853">
        <v>2286</v>
      </c>
      <c r="I230" s="853">
        <v>0</v>
      </c>
      <c r="J230" s="853">
        <v>0</v>
      </c>
      <c r="K230" s="853">
        <v>513.27</v>
      </c>
      <c r="L230" s="854">
        <v>2799.27</v>
      </c>
      <c r="M230" s="686">
        <v>1693</v>
      </c>
      <c r="N230" s="687">
        <v>39.904099999999971</v>
      </c>
    </row>
    <row r="231" spans="1:17" ht="19.5" customHeight="1">
      <c r="A231" s="1002"/>
      <c r="B231" s="1777"/>
      <c r="C231" s="855" t="s">
        <v>415</v>
      </c>
      <c r="D231" s="856">
        <v>1407.98</v>
      </c>
      <c r="E231" s="856">
        <v>0</v>
      </c>
      <c r="F231" s="856">
        <v>0</v>
      </c>
      <c r="G231" s="856">
        <v>0</v>
      </c>
      <c r="H231" s="856">
        <v>1407.98</v>
      </c>
      <c r="I231" s="856">
        <v>0</v>
      </c>
      <c r="J231" s="856">
        <v>89.000100000000003</v>
      </c>
      <c r="K231" s="856">
        <v>10</v>
      </c>
      <c r="L231" s="851">
        <v>1506.9801</v>
      </c>
    </row>
    <row r="232" spans="1:17" ht="19.5" customHeight="1">
      <c r="A232" s="1002"/>
      <c r="B232" s="1777"/>
      <c r="C232" s="857" t="s">
        <v>1702</v>
      </c>
      <c r="D232" s="858">
        <v>5433.98</v>
      </c>
      <c r="E232" s="858">
        <v>0</v>
      </c>
      <c r="F232" s="858">
        <v>0</v>
      </c>
      <c r="G232" s="858">
        <v>0</v>
      </c>
      <c r="H232" s="858">
        <v>5433.98</v>
      </c>
      <c r="I232" s="858">
        <v>0</v>
      </c>
      <c r="J232" s="858">
        <v>2150.9201000000003</v>
      </c>
      <c r="K232" s="858">
        <v>549.56999999999994</v>
      </c>
      <c r="L232" s="859">
        <v>8134.4700999999995</v>
      </c>
    </row>
    <row r="233" spans="1:17" ht="19.5" customHeight="1">
      <c r="A233" s="1002"/>
      <c r="B233" s="1778" t="s">
        <v>490</v>
      </c>
      <c r="C233" s="855" t="s">
        <v>413</v>
      </c>
      <c r="D233" s="856">
        <v>0</v>
      </c>
      <c r="E233" s="856">
        <v>0</v>
      </c>
      <c r="F233" s="856">
        <v>0</v>
      </c>
      <c r="G233" s="856">
        <v>0</v>
      </c>
      <c r="H233" s="856">
        <v>0</v>
      </c>
      <c r="I233" s="856">
        <v>0</v>
      </c>
      <c r="J233" s="856">
        <v>360</v>
      </c>
      <c r="K233" s="856">
        <v>52.11</v>
      </c>
      <c r="L233" s="851">
        <v>412.11</v>
      </c>
    </row>
    <row r="234" spans="1:17" ht="19.5" customHeight="1">
      <c r="A234" s="1002"/>
      <c r="B234" s="1779"/>
      <c r="C234" s="852" t="s">
        <v>414</v>
      </c>
      <c r="D234" s="853">
        <v>0</v>
      </c>
      <c r="E234" s="853">
        <v>0</v>
      </c>
      <c r="F234" s="853">
        <v>0</v>
      </c>
      <c r="G234" s="853">
        <v>0</v>
      </c>
      <c r="H234" s="853">
        <v>0</v>
      </c>
      <c r="I234" s="853">
        <v>0</v>
      </c>
      <c r="J234" s="853">
        <v>209</v>
      </c>
      <c r="K234" s="853">
        <v>7.0000000000000007E-2</v>
      </c>
      <c r="L234" s="854">
        <v>209.07</v>
      </c>
      <c r="M234" s="686">
        <v>148</v>
      </c>
      <c r="N234" s="687">
        <v>3.0258000000000038</v>
      </c>
    </row>
    <row r="235" spans="1:17" ht="19.5" customHeight="1">
      <c r="A235" s="1002"/>
      <c r="B235" s="1779"/>
      <c r="C235" s="855" t="s">
        <v>415</v>
      </c>
      <c r="D235" s="856">
        <v>25.677999999999997</v>
      </c>
      <c r="E235" s="856">
        <v>0</v>
      </c>
      <c r="F235" s="856">
        <v>0</v>
      </c>
      <c r="G235" s="856">
        <v>0</v>
      </c>
      <c r="H235" s="856">
        <v>25.677999999999997</v>
      </c>
      <c r="I235" s="856">
        <v>0</v>
      </c>
      <c r="J235" s="856">
        <v>63.997800000000005</v>
      </c>
      <c r="K235" s="856">
        <v>0</v>
      </c>
      <c r="L235" s="851">
        <v>89.67580000000001</v>
      </c>
      <c r="N235" s="687"/>
    </row>
    <row r="236" spans="1:17" ht="19.5" customHeight="1">
      <c r="A236" s="1002"/>
      <c r="B236" s="1780"/>
      <c r="C236" s="857" t="s">
        <v>1702</v>
      </c>
      <c r="D236" s="858">
        <v>25.677999999999997</v>
      </c>
      <c r="E236" s="858">
        <v>0</v>
      </c>
      <c r="F236" s="858">
        <v>0</v>
      </c>
      <c r="G236" s="858">
        <v>0</v>
      </c>
      <c r="H236" s="858">
        <v>25.677999999999997</v>
      </c>
      <c r="I236" s="858">
        <v>0</v>
      </c>
      <c r="J236" s="858">
        <v>632.99779999999998</v>
      </c>
      <c r="K236" s="858">
        <v>52.18</v>
      </c>
      <c r="L236" s="859">
        <v>710.85580000000004</v>
      </c>
      <c r="M236" s="686">
        <v>1123</v>
      </c>
      <c r="N236" s="687">
        <v>88.835299999999961</v>
      </c>
      <c r="P236" s="699"/>
      <c r="Q236" s="699"/>
    </row>
    <row r="237" spans="1:17" ht="19.5" customHeight="1">
      <c r="A237" s="1002"/>
      <c r="B237" s="1804" t="s">
        <v>1705</v>
      </c>
      <c r="C237" s="1805"/>
      <c r="D237" s="880">
        <v>1270.83</v>
      </c>
      <c r="E237" s="880">
        <v>0</v>
      </c>
      <c r="F237" s="880">
        <v>0</v>
      </c>
      <c r="G237" s="880">
        <v>0</v>
      </c>
      <c r="H237" s="880">
        <v>1270.83</v>
      </c>
      <c r="I237" s="880">
        <v>0</v>
      </c>
      <c r="J237" s="880">
        <v>85.005300000000005</v>
      </c>
      <c r="K237" s="880">
        <v>0</v>
      </c>
      <c r="L237" s="881">
        <v>1355.8353</v>
      </c>
    </row>
    <row r="238" spans="1:17" ht="19.5" customHeight="1">
      <c r="A238" s="1002"/>
      <c r="B238" s="1777" t="s">
        <v>1713</v>
      </c>
      <c r="C238" s="849" t="s">
        <v>413</v>
      </c>
      <c r="D238" s="850">
        <v>7450</v>
      </c>
      <c r="E238" s="850">
        <v>0</v>
      </c>
      <c r="F238" s="850">
        <v>100</v>
      </c>
      <c r="G238" s="850">
        <v>0</v>
      </c>
      <c r="H238" s="850">
        <v>7550</v>
      </c>
      <c r="I238" s="850">
        <v>0</v>
      </c>
      <c r="J238" s="850">
        <v>3537.92</v>
      </c>
      <c r="K238" s="850">
        <v>275.11</v>
      </c>
      <c r="L238" s="851">
        <v>11363.029999999999</v>
      </c>
    </row>
    <row r="239" spans="1:17" ht="19.5" customHeight="1">
      <c r="A239" s="1002"/>
      <c r="B239" s="1777"/>
      <c r="C239" s="852" t="s">
        <v>414</v>
      </c>
      <c r="D239" s="853">
        <v>6153</v>
      </c>
      <c r="E239" s="853">
        <v>0</v>
      </c>
      <c r="F239" s="853">
        <v>0</v>
      </c>
      <c r="G239" s="853">
        <v>0</v>
      </c>
      <c r="H239" s="853">
        <v>6153</v>
      </c>
      <c r="I239" s="853">
        <v>0</v>
      </c>
      <c r="J239" s="853">
        <v>209</v>
      </c>
      <c r="K239" s="853">
        <v>1310.1899999999998</v>
      </c>
      <c r="L239" s="854">
        <v>7672.19</v>
      </c>
      <c r="M239" s="687">
        <v>14911</v>
      </c>
      <c r="N239" s="686">
        <v>940.84000000000015</v>
      </c>
    </row>
    <row r="240" spans="1:17" ht="15.75">
      <c r="A240" s="1002"/>
      <c r="B240" s="1777"/>
      <c r="C240" s="855" t="s">
        <v>415</v>
      </c>
      <c r="D240" s="856">
        <v>13499.474999999999</v>
      </c>
      <c r="E240" s="856">
        <v>0</v>
      </c>
      <c r="F240" s="856">
        <v>0</v>
      </c>
      <c r="G240" s="856">
        <v>0</v>
      </c>
      <c r="H240" s="856">
        <v>13499.474999999999</v>
      </c>
      <c r="I240" s="856">
        <v>0</v>
      </c>
      <c r="J240" s="856">
        <v>1005.2</v>
      </c>
      <c r="K240" s="856">
        <v>10</v>
      </c>
      <c r="L240" s="851">
        <v>14514.674999999999</v>
      </c>
      <c r="N240" s="687"/>
    </row>
    <row r="241" spans="1:16" ht="19.5" customHeight="1">
      <c r="A241" s="1002"/>
      <c r="B241" s="1782"/>
      <c r="C241" s="860" t="s">
        <v>403</v>
      </c>
      <c r="D241" s="861">
        <v>27102.474999999999</v>
      </c>
      <c r="E241" s="861">
        <v>0</v>
      </c>
      <c r="F241" s="861">
        <v>100</v>
      </c>
      <c r="G241" s="861">
        <v>0</v>
      </c>
      <c r="H241" s="861">
        <v>27202.474999999999</v>
      </c>
      <c r="I241" s="861">
        <v>0</v>
      </c>
      <c r="J241" s="861">
        <v>4752.12</v>
      </c>
      <c r="K241" s="861">
        <v>1595.2999999999997</v>
      </c>
      <c r="L241" s="862">
        <v>33549.894999999997</v>
      </c>
      <c r="M241" s="700"/>
      <c r="N241" s="687"/>
    </row>
    <row r="242" spans="1:16" ht="19.5" customHeight="1">
      <c r="A242" s="1"/>
      <c r="B242" s="1030"/>
      <c r="C242" s="1021"/>
      <c r="D242" s="1023"/>
      <c r="E242" s="1023"/>
      <c r="F242" s="1023"/>
      <c r="G242" s="1023"/>
      <c r="H242" s="1023"/>
      <c r="I242" s="1023"/>
      <c r="J242" s="1023"/>
      <c r="K242" s="1023"/>
      <c r="L242" s="1088"/>
      <c r="M242" s="700"/>
      <c r="N242" s="687"/>
    </row>
    <row r="243" spans="1:16" ht="19.5" customHeight="1">
      <c r="A243" s="1"/>
      <c r="B243" s="1030"/>
      <c r="C243" s="1021"/>
      <c r="D243" s="1023"/>
      <c r="E243" s="1023"/>
      <c r="F243" s="1023"/>
      <c r="G243" s="1023"/>
      <c r="H243" s="1023"/>
      <c r="I243" s="1023"/>
      <c r="J243" s="1023"/>
      <c r="K243" s="1023"/>
      <c r="L243" s="1022"/>
      <c r="N243" s="687"/>
    </row>
    <row r="244" spans="1:16" ht="19.5" customHeight="1">
      <c r="A244" s="1002"/>
      <c r="B244" s="1807" t="s">
        <v>1714</v>
      </c>
      <c r="C244" s="1807"/>
      <c r="D244" s="1807"/>
      <c r="E244" s="1807"/>
      <c r="F244" s="1807"/>
      <c r="G244" s="1807"/>
      <c r="H244" s="1807"/>
      <c r="I244" s="1807"/>
      <c r="J244" s="1807"/>
      <c r="K244" s="1807"/>
      <c r="L244" s="1807"/>
      <c r="N244" s="701"/>
    </row>
    <row r="245" spans="1:16" ht="19.5" customHeight="1">
      <c r="A245" s="1002"/>
      <c r="B245" s="1807"/>
      <c r="C245" s="1807"/>
      <c r="D245" s="1807"/>
      <c r="E245" s="1807"/>
      <c r="F245" s="1807"/>
      <c r="G245" s="1807"/>
      <c r="H245" s="1807"/>
      <c r="I245" s="1807"/>
      <c r="J245" s="1807"/>
      <c r="K245" s="1807"/>
      <c r="L245" s="1807"/>
      <c r="N245" s="700"/>
    </row>
    <row r="246" spans="1:16" ht="19.5" customHeight="1">
      <c r="A246" s="1002"/>
      <c r="B246" s="1807"/>
      <c r="C246" s="1807"/>
      <c r="D246" s="1807"/>
      <c r="E246" s="1807"/>
      <c r="F246" s="1807"/>
      <c r="G246" s="1807"/>
      <c r="H246" s="1807"/>
      <c r="I246" s="1807"/>
      <c r="J246" s="1807"/>
      <c r="K246" s="1807"/>
      <c r="L246" s="1807"/>
    </row>
    <row r="247" spans="1:16" ht="19.5" customHeight="1">
      <c r="A247" s="1002"/>
      <c r="B247" s="1783" t="s">
        <v>1700</v>
      </c>
      <c r="C247" s="1783"/>
      <c r="D247" s="1783"/>
      <c r="E247" s="1783"/>
      <c r="F247" s="1783"/>
      <c r="G247" s="1783"/>
      <c r="H247" s="1783"/>
      <c r="I247" s="1783"/>
      <c r="J247" s="1783"/>
      <c r="K247" s="1783"/>
      <c r="L247" s="1783"/>
      <c r="M247" s="700"/>
    </row>
    <row r="248" spans="1:16" ht="19.5" customHeight="1">
      <c r="A248" s="1002"/>
      <c r="B248" s="1474"/>
      <c r="C248" s="1476"/>
      <c r="D248" s="1477"/>
      <c r="E248" s="1477"/>
      <c r="F248" s="1477"/>
      <c r="G248" s="1477"/>
      <c r="H248" s="1477"/>
      <c r="I248" s="1474"/>
      <c r="J248" s="1476"/>
      <c r="K248" s="1784" t="s">
        <v>1963</v>
      </c>
      <c r="L248" s="1784"/>
    </row>
    <row r="249" spans="1:16" ht="19.5" customHeight="1">
      <c r="A249" s="1002"/>
      <c r="B249" s="1785" t="s">
        <v>1603</v>
      </c>
      <c r="C249" s="1788" t="s">
        <v>1668</v>
      </c>
      <c r="D249" s="1791" t="s">
        <v>1669</v>
      </c>
      <c r="E249" s="1792"/>
      <c r="F249" s="1792"/>
      <c r="G249" s="1792"/>
      <c r="H249" s="1792"/>
      <c r="I249" s="1792"/>
      <c r="J249" s="1792"/>
      <c r="K249" s="1793"/>
      <c r="L249" s="1794" t="s">
        <v>403</v>
      </c>
    </row>
    <row r="250" spans="1:16" ht="19.5" customHeight="1">
      <c r="A250" s="1002"/>
      <c r="B250" s="1786"/>
      <c r="C250" s="1789"/>
      <c r="D250" s="1797" t="s">
        <v>405</v>
      </c>
      <c r="E250" s="1798"/>
      <c r="F250" s="1798"/>
      <c r="G250" s="1798"/>
      <c r="H250" s="1798"/>
      <c r="I250" s="1799" t="s">
        <v>411</v>
      </c>
      <c r="J250" s="1800" t="s">
        <v>407</v>
      </c>
      <c r="K250" s="1802" t="s">
        <v>1701</v>
      </c>
      <c r="L250" s="1795"/>
      <c r="N250" s="702"/>
    </row>
    <row r="251" spans="1:16" ht="19.5" customHeight="1">
      <c r="A251" s="1002"/>
      <c r="B251" s="1787"/>
      <c r="C251" s="1790"/>
      <c r="D251" s="1090" t="s">
        <v>408</v>
      </c>
      <c r="E251" s="1004" t="s">
        <v>888</v>
      </c>
      <c r="F251" s="1004" t="s">
        <v>409</v>
      </c>
      <c r="G251" s="1004" t="s">
        <v>410</v>
      </c>
      <c r="H251" s="1004" t="s">
        <v>406</v>
      </c>
      <c r="I251" s="1797"/>
      <c r="J251" s="1801"/>
      <c r="K251" s="1803"/>
      <c r="L251" s="1796"/>
    </row>
    <row r="252" spans="1:16" ht="19.5" customHeight="1">
      <c r="A252" s="1002"/>
      <c r="B252" s="1777" t="s">
        <v>512</v>
      </c>
      <c r="C252" s="849" t="s">
        <v>413</v>
      </c>
      <c r="D252" s="850">
        <v>0</v>
      </c>
      <c r="E252" s="850">
        <v>0</v>
      </c>
      <c r="F252" s="850">
        <v>329.35500000000002</v>
      </c>
      <c r="G252" s="850">
        <v>0</v>
      </c>
      <c r="H252" s="850">
        <v>329.35500000000002</v>
      </c>
      <c r="I252" s="850">
        <v>0</v>
      </c>
      <c r="J252" s="850">
        <v>100</v>
      </c>
      <c r="K252" s="850">
        <v>5.009999999999998</v>
      </c>
      <c r="L252" s="851">
        <v>434.36500000000001</v>
      </c>
      <c r="O252" s="703" t="s">
        <v>1033</v>
      </c>
    </row>
    <row r="253" spans="1:16" ht="19.5" customHeight="1">
      <c r="A253" s="1002"/>
      <c r="B253" s="1777"/>
      <c r="C253" s="852" t="s">
        <v>414</v>
      </c>
      <c r="D253" s="853">
        <v>0</v>
      </c>
      <c r="E253" s="853">
        <v>0</v>
      </c>
      <c r="F253" s="853">
        <v>24.5</v>
      </c>
      <c r="G253" s="853">
        <v>0</v>
      </c>
      <c r="H253" s="853">
        <v>24.5</v>
      </c>
      <c r="I253" s="853">
        <v>0</v>
      </c>
      <c r="J253" s="853">
        <v>0</v>
      </c>
      <c r="K253" s="853">
        <v>65.25</v>
      </c>
      <c r="L253" s="854">
        <v>89.75</v>
      </c>
      <c r="M253" s="687">
        <v>914.21699999999998</v>
      </c>
      <c r="N253" s="687">
        <v>311.94299999999987</v>
      </c>
      <c r="O253" s="687">
        <v>1.865</v>
      </c>
      <c r="P253" s="687">
        <v>310.07799999999986</v>
      </c>
    </row>
    <row r="254" spans="1:16" ht="19.5" customHeight="1">
      <c r="A254" s="1002"/>
      <c r="B254" s="1777"/>
      <c r="C254" s="855" t="s">
        <v>415</v>
      </c>
      <c r="D254" s="856">
        <v>402.52</v>
      </c>
      <c r="E254" s="856">
        <v>0</v>
      </c>
      <c r="F254" s="856">
        <v>435.56</v>
      </c>
      <c r="G254" s="856">
        <v>0</v>
      </c>
      <c r="H254" s="856">
        <v>838.07999999999993</v>
      </c>
      <c r="I254" s="856">
        <v>0</v>
      </c>
      <c r="J254" s="856">
        <v>422.08</v>
      </c>
      <c r="K254" s="856">
        <v>25</v>
      </c>
      <c r="L254" s="851">
        <v>1285.1599999999999</v>
      </c>
      <c r="O254" s="687"/>
    </row>
    <row r="255" spans="1:16" ht="19.5" customHeight="1">
      <c r="A255" s="1002"/>
      <c r="B255" s="1777"/>
      <c r="C255" s="857" t="s">
        <v>1702</v>
      </c>
      <c r="D255" s="858">
        <v>402.52</v>
      </c>
      <c r="E255" s="858">
        <v>0</v>
      </c>
      <c r="F255" s="858">
        <v>789.41499999999996</v>
      </c>
      <c r="G255" s="858">
        <v>0</v>
      </c>
      <c r="H255" s="858">
        <v>1191.9349999999999</v>
      </c>
      <c r="I255" s="858">
        <v>0</v>
      </c>
      <c r="J255" s="858">
        <v>522.07999999999993</v>
      </c>
      <c r="K255" s="858">
        <v>95.259999999999991</v>
      </c>
      <c r="L255" s="859">
        <v>1809.2749999999999</v>
      </c>
      <c r="O255" s="687"/>
    </row>
    <row r="256" spans="1:16" ht="19.5" customHeight="1">
      <c r="A256" s="1002"/>
      <c r="B256" s="1778" t="s">
        <v>526</v>
      </c>
      <c r="C256" s="855" t="s">
        <v>413</v>
      </c>
      <c r="D256" s="856">
        <v>0</v>
      </c>
      <c r="E256" s="856">
        <v>0</v>
      </c>
      <c r="F256" s="856">
        <v>0</v>
      </c>
      <c r="G256" s="856">
        <v>0</v>
      </c>
      <c r="H256" s="856">
        <v>0</v>
      </c>
      <c r="I256" s="856">
        <v>0</v>
      </c>
      <c r="J256" s="856">
        <v>0</v>
      </c>
      <c r="K256" s="856">
        <v>107.10499999999999</v>
      </c>
      <c r="L256" s="851">
        <v>107.10499999999999</v>
      </c>
      <c r="O256" s="687"/>
    </row>
    <row r="257" spans="1:16" ht="19.5" customHeight="1">
      <c r="A257" s="1002"/>
      <c r="B257" s="1779"/>
      <c r="C257" s="852" t="s">
        <v>414</v>
      </c>
      <c r="D257" s="853">
        <v>0</v>
      </c>
      <c r="E257" s="853">
        <v>0</v>
      </c>
      <c r="F257" s="853">
        <v>0</v>
      </c>
      <c r="G257" s="853">
        <v>0</v>
      </c>
      <c r="H257" s="853">
        <v>0</v>
      </c>
      <c r="I257" s="853">
        <v>0</v>
      </c>
      <c r="J257" s="853">
        <v>0</v>
      </c>
      <c r="K257" s="853">
        <v>29.61</v>
      </c>
      <c r="L257" s="854">
        <v>29.61</v>
      </c>
      <c r="M257" s="687">
        <v>156.268</v>
      </c>
      <c r="N257" s="687">
        <v>44.152000000000015</v>
      </c>
      <c r="O257" s="687">
        <v>0.32599999999999996</v>
      </c>
      <c r="P257" s="687">
        <v>43.826000000000015</v>
      </c>
    </row>
    <row r="258" spans="1:16" ht="19.5" customHeight="1">
      <c r="A258" s="1002"/>
      <c r="B258" s="1779"/>
      <c r="C258" s="855" t="s">
        <v>415</v>
      </c>
      <c r="D258" s="856">
        <v>37.049999999999997</v>
      </c>
      <c r="E258" s="856">
        <v>0</v>
      </c>
      <c r="F258" s="856">
        <v>46.82</v>
      </c>
      <c r="G258" s="856">
        <v>0</v>
      </c>
      <c r="H258" s="856">
        <v>83.87</v>
      </c>
      <c r="I258" s="856">
        <v>0</v>
      </c>
      <c r="J258" s="856">
        <v>544.54999999999995</v>
      </c>
      <c r="K258" s="856">
        <v>0</v>
      </c>
      <c r="L258" s="851">
        <v>628.41999999999996</v>
      </c>
      <c r="O258" s="687"/>
    </row>
    <row r="259" spans="1:16" ht="19.5" customHeight="1">
      <c r="A259" s="1002"/>
      <c r="B259" s="1780"/>
      <c r="C259" s="857" t="s">
        <v>1702</v>
      </c>
      <c r="D259" s="858">
        <v>37.049999999999997</v>
      </c>
      <c r="E259" s="858">
        <v>0</v>
      </c>
      <c r="F259" s="858">
        <v>46.82</v>
      </c>
      <c r="G259" s="858">
        <v>0</v>
      </c>
      <c r="H259" s="858">
        <v>83.87</v>
      </c>
      <c r="I259" s="858">
        <v>0</v>
      </c>
      <c r="J259" s="858">
        <v>544.54999999999995</v>
      </c>
      <c r="K259" s="858">
        <v>136.71499999999997</v>
      </c>
      <c r="L259" s="859">
        <v>765.13499999999999</v>
      </c>
      <c r="O259" s="687"/>
    </row>
    <row r="260" spans="1:16" ht="19.5" customHeight="1">
      <c r="A260" s="1002"/>
      <c r="B260" s="1777" t="s">
        <v>514</v>
      </c>
      <c r="C260" s="849" t="s">
        <v>413</v>
      </c>
      <c r="D260" s="850">
        <v>0</v>
      </c>
      <c r="E260" s="850">
        <v>0</v>
      </c>
      <c r="F260" s="850">
        <v>0</v>
      </c>
      <c r="G260" s="850">
        <v>0</v>
      </c>
      <c r="H260" s="850">
        <v>0</v>
      </c>
      <c r="I260" s="850">
        <v>0</v>
      </c>
      <c r="J260" s="850">
        <v>322</v>
      </c>
      <c r="K260" s="850">
        <v>32.53</v>
      </c>
      <c r="L260" s="851">
        <v>354.53</v>
      </c>
      <c r="O260" s="687"/>
    </row>
    <row r="261" spans="1:16" ht="19.5" customHeight="1">
      <c r="A261" s="1002"/>
      <c r="B261" s="1777"/>
      <c r="C261" s="852" t="s">
        <v>414</v>
      </c>
      <c r="D261" s="853">
        <v>0</v>
      </c>
      <c r="E261" s="853">
        <v>0</v>
      </c>
      <c r="F261" s="853">
        <v>0</v>
      </c>
      <c r="G261" s="853">
        <v>0</v>
      </c>
      <c r="H261" s="853">
        <v>0</v>
      </c>
      <c r="I261" s="853">
        <v>0</v>
      </c>
      <c r="J261" s="853">
        <v>0</v>
      </c>
      <c r="K261" s="853">
        <v>13.99</v>
      </c>
      <c r="L261" s="854">
        <v>13.99</v>
      </c>
      <c r="M261" s="686">
        <v>189.64</v>
      </c>
      <c r="N261" s="687">
        <v>37.920000000000016</v>
      </c>
      <c r="O261" s="687">
        <v>0.39399999999999996</v>
      </c>
      <c r="P261" s="687">
        <v>37.526000000000018</v>
      </c>
    </row>
    <row r="262" spans="1:16" ht="19.5" customHeight="1">
      <c r="A262" s="1002"/>
      <c r="B262" s="1777"/>
      <c r="C262" s="855" t="s">
        <v>415</v>
      </c>
      <c r="D262" s="856">
        <v>51.6</v>
      </c>
      <c r="E262" s="856">
        <v>0</v>
      </c>
      <c r="F262" s="856">
        <v>109.69</v>
      </c>
      <c r="G262" s="856">
        <v>0</v>
      </c>
      <c r="H262" s="856">
        <v>161.29</v>
      </c>
      <c r="I262" s="856">
        <v>0</v>
      </c>
      <c r="J262" s="856">
        <v>87.27</v>
      </c>
      <c r="K262" s="856">
        <v>0</v>
      </c>
      <c r="L262" s="851">
        <v>248.56</v>
      </c>
      <c r="O262" s="687"/>
    </row>
    <row r="263" spans="1:16" ht="19.5" customHeight="1">
      <c r="A263" s="1002"/>
      <c r="B263" s="1777"/>
      <c r="C263" s="857" t="s">
        <v>1702</v>
      </c>
      <c r="D263" s="858">
        <v>51.6</v>
      </c>
      <c r="E263" s="858">
        <v>0</v>
      </c>
      <c r="F263" s="858">
        <v>109.69</v>
      </c>
      <c r="G263" s="858">
        <v>0</v>
      </c>
      <c r="H263" s="858">
        <v>161.29</v>
      </c>
      <c r="I263" s="858">
        <v>0</v>
      </c>
      <c r="J263" s="858">
        <v>409.27</v>
      </c>
      <c r="K263" s="858">
        <v>46.52</v>
      </c>
      <c r="L263" s="859">
        <v>617.07999999999993</v>
      </c>
      <c r="O263" s="687"/>
    </row>
    <row r="264" spans="1:16" ht="19.5" customHeight="1">
      <c r="A264" s="1002"/>
      <c r="B264" s="1778" t="s">
        <v>493</v>
      </c>
      <c r="C264" s="855" t="s">
        <v>413</v>
      </c>
      <c r="D264" s="856">
        <v>0</v>
      </c>
      <c r="E264" s="856">
        <v>0</v>
      </c>
      <c r="F264" s="856">
        <v>137</v>
      </c>
      <c r="G264" s="856">
        <v>0</v>
      </c>
      <c r="H264" s="856">
        <v>137</v>
      </c>
      <c r="I264" s="856">
        <v>0</v>
      </c>
      <c r="J264" s="856">
        <v>0</v>
      </c>
      <c r="K264" s="856">
        <v>16.010000000000002</v>
      </c>
      <c r="L264" s="851">
        <v>153.01</v>
      </c>
      <c r="O264" s="687"/>
    </row>
    <row r="265" spans="1:16" ht="19.5" customHeight="1">
      <c r="A265" s="1002"/>
      <c r="B265" s="1779"/>
      <c r="C265" s="852" t="s">
        <v>414</v>
      </c>
      <c r="D265" s="853">
        <v>0</v>
      </c>
      <c r="E265" s="853">
        <v>0</v>
      </c>
      <c r="F265" s="853">
        <v>0</v>
      </c>
      <c r="G265" s="853">
        <v>0</v>
      </c>
      <c r="H265" s="853">
        <v>0</v>
      </c>
      <c r="I265" s="853">
        <v>0</v>
      </c>
      <c r="J265" s="853">
        <v>0</v>
      </c>
      <c r="K265" s="853">
        <v>4.41</v>
      </c>
      <c r="L265" s="854">
        <v>4.41</v>
      </c>
      <c r="M265" s="687">
        <v>516.976</v>
      </c>
      <c r="N265" s="687">
        <v>49.563999999999965</v>
      </c>
      <c r="O265" s="687">
        <v>0.84250000000000003</v>
      </c>
      <c r="P265" s="687">
        <v>48.721499999999963</v>
      </c>
    </row>
    <row r="266" spans="1:16" ht="19.5" customHeight="1">
      <c r="A266" s="1002"/>
      <c r="B266" s="1779"/>
      <c r="C266" s="855" t="s">
        <v>415</v>
      </c>
      <c r="D266" s="856">
        <v>56.1</v>
      </c>
      <c r="E266" s="856">
        <v>0</v>
      </c>
      <c r="F266" s="856">
        <v>436.95</v>
      </c>
      <c r="G266" s="856">
        <v>0</v>
      </c>
      <c r="H266" s="856">
        <v>493.05</v>
      </c>
      <c r="I266" s="856">
        <v>0</v>
      </c>
      <c r="J266" s="856">
        <v>68.489999999999995</v>
      </c>
      <c r="K266" s="856">
        <v>5</v>
      </c>
      <c r="L266" s="851">
        <v>566.54</v>
      </c>
    </row>
    <row r="267" spans="1:16" ht="19.5" customHeight="1">
      <c r="A267" s="1002"/>
      <c r="B267" s="1780"/>
      <c r="C267" s="857" t="s">
        <v>1702</v>
      </c>
      <c r="D267" s="858">
        <v>56.1</v>
      </c>
      <c r="E267" s="858">
        <v>0</v>
      </c>
      <c r="F267" s="858">
        <v>573.95000000000005</v>
      </c>
      <c r="G267" s="858">
        <v>0</v>
      </c>
      <c r="H267" s="858">
        <v>630.04999999999995</v>
      </c>
      <c r="I267" s="858">
        <v>0</v>
      </c>
      <c r="J267" s="858">
        <v>68.489999999999995</v>
      </c>
      <c r="K267" s="858">
        <v>25.42</v>
      </c>
      <c r="L267" s="859">
        <v>723.95999999999992</v>
      </c>
    </row>
    <row r="268" spans="1:16" ht="19.5" customHeight="1">
      <c r="A268" s="1002"/>
      <c r="B268" s="1777" t="s">
        <v>515</v>
      </c>
      <c r="C268" s="849" t="s">
        <v>413</v>
      </c>
      <c r="D268" s="850">
        <v>0</v>
      </c>
      <c r="E268" s="850">
        <v>0</v>
      </c>
      <c r="F268" s="850">
        <v>0</v>
      </c>
      <c r="G268" s="850">
        <v>36</v>
      </c>
      <c r="H268" s="850">
        <v>36</v>
      </c>
      <c r="I268" s="850">
        <v>0</v>
      </c>
      <c r="J268" s="850">
        <v>0</v>
      </c>
      <c r="K268" s="850">
        <v>5.45</v>
      </c>
      <c r="L268" s="851">
        <v>41.45</v>
      </c>
    </row>
    <row r="269" spans="1:16" ht="19.5" customHeight="1">
      <c r="A269" s="1002"/>
      <c r="B269" s="1777"/>
      <c r="C269" s="852" t="s">
        <v>414</v>
      </c>
      <c r="D269" s="853">
        <v>0</v>
      </c>
      <c r="E269" s="853">
        <v>0</v>
      </c>
      <c r="F269" s="853">
        <v>0</v>
      </c>
      <c r="G269" s="853">
        <v>0</v>
      </c>
      <c r="H269" s="853">
        <v>0</v>
      </c>
      <c r="I269" s="853">
        <v>0</v>
      </c>
      <c r="J269" s="853">
        <v>0</v>
      </c>
      <c r="K269" s="853">
        <v>6.36</v>
      </c>
      <c r="L269" s="854">
        <v>6.36</v>
      </c>
      <c r="M269" s="687">
        <v>175.7835</v>
      </c>
      <c r="N269" s="687">
        <v>38.226499999999987</v>
      </c>
      <c r="O269" s="687">
        <v>0.35200000000000004</v>
      </c>
      <c r="P269" s="687">
        <v>37.874499999999991</v>
      </c>
    </row>
    <row r="270" spans="1:16" ht="19.5" customHeight="1">
      <c r="A270" s="1002"/>
      <c r="B270" s="1777"/>
      <c r="C270" s="855" t="s">
        <v>415</v>
      </c>
      <c r="D270" s="856">
        <v>47.1</v>
      </c>
      <c r="E270" s="856">
        <v>0</v>
      </c>
      <c r="F270" s="856">
        <v>71.569999999999993</v>
      </c>
      <c r="G270" s="856">
        <v>0</v>
      </c>
      <c r="H270" s="856">
        <v>118.66999999999999</v>
      </c>
      <c r="I270" s="856">
        <v>0</v>
      </c>
      <c r="J270" s="856">
        <v>95.34</v>
      </c>
      <c r="K270" s="856">
        <v>0</v>
      </c>
      <c r="L270" s="851">
        <v>214.01</v>
      </c>
    </row>
    <row r="271" spans="1:16" ht="19.5" customHeight="1">
      <c r="A271" s="1002"/>
      <c r="B271" s="1777"/>
      <c r="C271" s="857" t="s">
        <v>1702</v>
      </c>
      <c r="D271" s="858">
        <v>47.1</v>
      </c>
      <c r="E271" s="858">
        <v>0</v>
      </c>
      <c r="F271" s="858">
        <v>71.569999999999993</v>
      </c>
      <c r="G271" s="858">
        <v>36</v>
      </c>
      <c r="H271" s="858">
        <v>154.66999999999999</v>
      </c>
      <c r="I271" s="858">
        <v>0</v>
      </c>
      <c r="J271" s="858">
        <v>95.34</v>
      </c>
      <c r="K271" s="858">
        <v>11.81</v>
      </c>
      <c r="L271" s="859">
        <v>261.82</v>
      </c>
    </row>
    <row r="272" spans="1:16" ht="19.5" customHeight="1">
      <c r="A272" s="1002"/>
      <c r="B272" s="1778" t="s">
        <v>516</v>
      </c>
      <c r="C272" s="855" t="s">
        <v>413</v>
      </c>
      <c r="D272" s="856">
        <v>0</v>
      </c>
      <c r="E272" s="856">
        <v>0</v>
      </c>
      <c r="F272" s="856">
        <v>0</v>
      </c>
      <c r="G272" s="856">
        <v>0</v>
      </c>
      <c r="H272" s="856">
        <v>0</v>
      </c>
      <c r="I272" s="856">
        <v>0</v>
      </c>
      <c r="J272" s="856">
        <v>0</v>
      </c>
      <c r="K272" s="856">
        <v>30.67</v>
      </c>
      <c r="L272" s="851">
        <v>30.67</v>
      </c>
    </row>
    <row r="273" spans="1:16" ht="19.5" customHeight="1">
      <c r="A273" s="1002"/>
      <c r="B273" s="1779"/>
      <c r="C273" s="852" t="s">
        <v>414</v>
      </c>
      <c r="D273" s="853">
        <v>0</v>
      </c>
      <c r="E273" s="853">
        <v>0</v>
      </c>
      <c r="F273" s="853">
        <v>0</v>
      </c>
      <c r="G273" s="853">
        <v>0</v>
      </c>
      <c r="H273" s="853">
        <v>0</v>
      </c>
      <c r="I273" s="853">
        <v>0</v>
      </c>
      <c r="J273" s="853">
        <v>0</v>
      </c>
      <c r="K273" s="853">
        <v>1</v>
      </c>
      <c r="L273" s="854">
        <v>1</v>
      </c>
      <c r="M273" s="687">
        <v>112.7105</v>
      </c>
      <c r="N273" s="687">
        <v>25.649500000000018</v>
      </c>
      <c r="O273" s="687">
        <v>0.2555</v>
      </c>
      <c r="P273" s="687">
        <v>25.394000000000016</v>
      </c>
    </row>
    <row r="274" spans="1:16" ht="19.5" customHeight="1">
      <c r="A274" s="1002"/>
      <c r="B274" s="1779"/>
      <c r="C274" s="855" t="s">
        <v>415</v>
      </c>
      <c r="D274" s="856">
        <v>32.1</v>
      </c>
      <c r="E274" s="856">
        <v>0</v>
      </c>
      <c r="F274" s="856">
        <v>48.93</v>
      </c>
      <c r="G274" s="856">
        <v>0</v>
      </c>
      <c r="H274" s="856">
        <v>81.03</v>
      </c>
      <c r="I274" s="856">
        <v>0</v>
      </c>
      <c r="J274" s="856">
        <v>66.330000000000013</v>
      </c>
      <c r="K274" s="856">
        <v>0</v>
      </c>
      <c r="L274" s="851">
        <v>147.36000000000001</v>
      </c>
    </row>
    <row r="275" spans="1:16" ht="19.5" customHeight="1">
      <c r="A275" s="1002"/>
      <c r="B275" s="1780"/>
      <c r="C275" s="857" t="s">
        <v>1702</v>
      </c>
      <c r="D275" s="858">
        <v>32.1</v>
      </c>
      <c r="E275" s="858">
        <v>0</v>
      </c>
      <c r="F275" s="858">
        <v>48.93</v>
      </c>
      <c r="G275" s="858">
        <v>0</v>
      </c>
      <c r="H275" s="858">
        <v>81.03</v>
      </c>
      <c r="I275" s="858">
        <v>0</v>
      </c>
      <c r="J275" s="858">
        <v>66.330000000000013</v>
      </c>
      <c r="K275" s="858">
        <v>31.67</v>
      </c>
      <c r="L275" s="859">
        <v>179.03000000000003</v>
      </c>
    </row>
    <row r="276" spans="1:16" ht="19.5" customHeight="1">
      <c r="A276" s="1002"/>
      <c r="B276" s="1777" t="s">
        <v>517</v>
      </c>
      <c r="C276" s="849" t="s">
        <v>413</v>
      </c>
      <c r="D276" s="850">
        <v>0</v>
      </c>
      <c r="E276" s="850">
        <v>0</v>
      </c>
      <c r="F276" s="850">
        <v>0</v>
      </c>
      <c r="G276" s="850">
        <v>0</v>
      </c>
      <c r="H276" s="850">
        <v>0</v>
      </c>
      <c r="I276" s="850">
        <v>0</v>
      </c>
      <c r="J276" s="850">
        <v>0</v>
      </c>
      <c r="K276" s="850">
        <v>36.47</v>
      </c>
      <c r="L276" s="851">
        <v>36.47</v>
      </c>
    </row>
    <row r="277" spans="1:16" ht="19.5" customHeight="1">
      <c r="A277" s="1002"/>
      <c r="B277" s="1777"/>
      <c r="C277" s="852" t="s">
        <v>414</v>
      </c>
      <c r="D277" s="853">
        <v>0</v>
      </c>
      <c r="E277" s="853">
        <v>0</v>
      </c>
      <c r="F277" s="853">
        <v>0</v>
      </c>
      <c r="G277" s="853">
        <v>0</v>
      </c>
      <c r="H277" s="853">
        <v>0</v>
      </c>
      <c r="I277" s="853">
        <v>0</v>
      </c>
      <c r="J277" s="853">
        <v>0</v>
      </c>
      <c r="K277" s="853">
        <v>1.53</v>
      </c>
      <c r="L277" s="854">
        <v>1.53</v>
      </c>
      <c r="M277" s="687">
        <v>84.740499999999997</v>
      </c>
      <c r="N277" s="687">
        <v>84.709499999999991</v>
      </c>
      <c r="O277" s="687">
        <v>0.23849999999999999</v>
      </c>
      <c r="P277" s="687">
        <v>84.470999999999989</v>
      </c>
    </row>
    <row r="278" spans="1:16" ht="19.5" customHeight="1">
      <c r="A278" s="1002"/>
      <c r="B278" s="1777"/>
      <c r="C278" s="855" t="s">
        <v>415</v>
      </c>
      <c r="D278" s="856">
        <v>31.05</v>
      </c>
      <c r="E278" s="856">
        <v>0</v>
      </c>
      <c r="F278" s="856">
        <v>40.46</v>
      </c>
      <c r="G278" s="856">
        <v>0</v>
      </c>
      <c r="H278" s="856">
        <v>71.510000000000005</v>
      </c>
      <c r="I278" s="856">
        <v>0</v>
      </c>
      <c r="J278" s="856">
        <v>97.94</v>
      </c>
      <c r="K278" s="856">
        <v>0</v>
      </c>
      <c r="L278" s="851">
        <v>169.45</v>
      </c>
    </row>
    <row r="279" spans="1:16" ht="19.5" customHeight="1">
      <c r="A279" s="1002"/>
      <c r="B279" s="1777"/>
      <c r="C279" s="872" t="s">
        <v>1702</v>
      </c>
      <c r="D279" s="873">
        <v>31.05</v>
      </c>
      <c r="E279" s="873">
        <v>0</v>
      </c>
      <c r="F279" s="873">
        <v>40.46</v>
      </c>
      <c r="G279" s="873">
        <v>0</v>
      </c>
      <c r="H279" s="873">
        <v>71.510000000000005</v>
      </c>
      <c r="I279" s="873">
        <v>0</v>
      </c>
      <c r="J279" s="873">
        <v>97.94</v>
      </c>
      <c r="K279" s="873">
        <v>38</v>
      </c>
      <c r="L279" s="874">
        <v>207.45</v>
      </c>
      <c r="M279" s="687">
        <v>227.69283550000006</v>
      </c>
      <c r="N279" s="687">
        <v>88.427164499999947</v>
      </c>
      <c r="O279" s="687">
        <v>0.72649999999999948</v>
      </c>
      <c r="P279" s="687">
        <v>87.700664499999945</v>
      </c>
    </row>
    <row r="280" spans="1:16" ht="19.5" customHeight="1">
      <c r="A280" s="1002"/>
      <c r="B280" s="1804" t="s">
        <v>1705</v>
      </c>
      <c r="C280" s="1805"/>
      <c r="D280" s="880">
        <v>112.5</v>
      </c>
      <c r="E280" s="880">
        <v>0</v>
      </c>
      <c r="F280" s="880">
        <v>63.620000000000005</v>
      </c>
      <c r="G280" s="880">
        <v>0</v>
      </c>
      <c r="H280" s="880">
        <v>176.12</v>
      </c>
      <c r="I280" s="880">
        <v>0</v>
      </c>
      <c r="J280" s="880">
        <v>140</v>
      </c>
      <c r="K280" s="880">
        <v>0</v>
      </c>
      <c r="L280" s="881">
        <v>316.12</v>
      </c>
      <c r="P280" s="687"/>
    </row>
    <row r="281" spans="1:16" ht="19.5" customHeight="1">
      <c r="A281" s="1002"/>
      <c r="B281" s="1779" t="s">
        <v>1715</v>
      </c>
      <c r="C281" s="849" t="s">
        <v>413</v>
      </c>
      <c r="D281" s="850">
        <v>0</v>
      </c>
      <c r="E281" s="850">
        <v>0</v>
      </c>
      <c r="F281" s="850">
        <v>466.35500000000002</v>
      </c>
      <c r="G281" s="850">
        <v>36</v>
      </c>
      <c r="H281" s="850">
        <v>502.35500000000002</v>
      </c>
      <c r="I281" s="850">
        <v>0</v>
      </c>
      <c r="J281" s="850">
        <v>422</v>
      </c>
      <c r="K281" s="850">
        <v>233.24499999999998</v>
      </c>
      <c r="L281" s="875">
        <v>1157.5999999999999</v>
      </c>
    </row>
    <row r="282" spans="1:16" ht="19.5" customHeight="1">
      <c r="A282" s="1002"/>
      <c r="B282" s="1779"/>
      <c r="C282" s="852" t="s">
        <v>414</v>
      </c>
      <c r="D282" s="853">
        <v>0</v>
      </c>
      <c r="E282" s="853">
        <v>0</v>
      </c>
      <c r="F282" s="853">
        <v>24.5</v>
      </c>
      <c r="G282" s="853">
        <v>0</v>
      </c>
      <c r="H282" s="853">
        <v>24.5</v>
      </c>
      <c r="I282" s="853">
        <v>0</v>
      </c>
      <c r="J282" s="853">
        <v>0</v>
      </c>
      <c r="K282" s="853">
        <v>122.14999999999999</v>
      </c>
      <c r="L282" s="854">
        <v>146.65</v>
      </c>
      <c r="M282" s="687">
        <v>2378.0283355000001</v>
      </c>
      <c r="N282" s="687">
        <v>680.59166449999975</v>
      </c>
      <c r="O282" s="687">
        <v>5</v>
      </c>
      <c r="P282" s="687">
        <v>675.59166449999975</v>
      </c>
    </row>
    <row r="283" spans="1:16" ht="19.5" customHeight="1">
      <c r="A283" s="1002"/>
      <c r="B283" s="1779"/>
      <c r="C283" s="855" t="s">
        <v>415</v>
      </c>
      <c r="D283" s="856">
        <v>770.02</v>
      </c>
      <c r="E283" s="856">
        <v>0</v>
      </c>
      <c r="F283" s="856">
        <v>1253.5999999999999</v>
      </c>
      <c r="G283" s="856">
        <v>0</v>
      </c>
      <c r="H283" s="856">
        <v>2023.62</v>
      </c>
      <c r="I283" s="856">
        <v>0</v>
      </c>
      <c r="J283" s="856">
        <v>1522</v>
      </c>
      <c r="K283" s="856">
        <v>30</v>
      </c>
      <c r="L283" s="851">
        <v>3575.6199999999994</v>
      </c>
    </row>
    <row r="284" spans="1:16" ht="19.5" customHeight="1">
      <c r="A284" s="1002"/>
      <c r="B284" s="1806"/>
      <c r="C284" s="860" t="s">
        <v>403</v>
      </c>
      <c r="D284" s="861">
        <v>770.02</v>
      </c>
      <c r="E284" s="861">
        <v>0</v>
      </c>
      <c r="F284" s="861">
        <v>1744.4549999999999</v>
      </c>
      <c r="G284" s="861">
        <v>36</v>
      </c>
      <c r="H284" s="861">
        <v>2550.4749999999999</v>
      </c>
      <c r="I284" s="861">
        <v>0</v>
      </c>
      <c r="J284" s="861">
        <v>1944</v>
      </c>
      <c r="K284" s="861">
        <v>385.39499999999998</v>
      </c>
      <c r="L284" s="862">
        <v>4879.87</v>
      </c>
      <c r="N284" s="700"/>
    </row>
    <row r="285" spans="1:16" ht="19.5" customHeight="1">
      <c r="A285" s="1002"/>
      <c r="B285" s="74"/>
      <c r="C285" s="1027"/>
      <c r="D285" s="1028"/>
      <c r="E285" s="1028"/>
      <c r="F285" s="1028"/>
      <c r="G285" s="1028"/>
      <c r="H285" s="1028"/>
      <c r="I285" s="1028"/>
      <c r="J285" s="1028"/>
      <c r="K285" s="1028"/>
      <c r="L285" s="1086"/>
      <c r="N285" s="700"/>
    </row>
    <row r="286" spans="1:16" ht="19.5" customHeight="1">
      <c r="A286" s="1002"/>
      <c r="B286" s="195"/>
      <c r="C286" s="195"/>
      <c r="D286" s="1029"/>
      <c r="E286" s="1029"/>
      <c r="F286" s="1029"/>
      <c r="G286" s="1029"/>
      <c r="H286" s="1029"/>
      <c r="I286" s="1029"/>
      <c r="J286" s="1029"/>
      <c r="K286" s="1029"/>
      <c r="L286" s="1022"/>
      <c r="N286" s="700"/>
    </row>
    <row r="287" spans="1:16" ht="19.5" customHeight="1">
      <c r="A287" s="1002"/>
      <c r="B287" s="1807" t="s">
        <v>1716</v>
      </c>
      <c r="C287" s="1807"/>
      <c r="D287" s="1807"/>
      <c r="E287" s="1807"/>
      <c r="F287" s="1807"/>
      <c r="G287" s="1807"/>
      <c r="H287" s="1807"/>
      <c r="I287" s="1807"/>
      <c r="J287" s="1807"/>
      <c r="K287" s="1807"/>
      <c r="L287" s="1807"/>
    </row>
    <row r="288" spans="1:16" ht="19.5" customHeight="1">
      <c r="A288" s="1002"/>
      <c r="B288" s="1807"/>
      <c r="C288" s="1807"/>
      <c r="D288" s="1807"/>
      <c r="E288" s="1807"/>
      <c r="F288" s="1807"/>
      <c r="G288" s="1807"/>
      <c r="H288" s="1807"/>
      <c r="I288" s="1807"/>
      <c r="J288" s="1807"/>
      <c r="K288" s="1807"/>
      <c r="L288" s="1807"/>
    </row>
    <row r="289" spans="1:12" ht="19.5" customHeight="1">
      <c r="A289" s="1002"/>
      <c r="B289" s="1807"/>
      <c r="C289" s="1807"/>
      <c r="D289" s="1807"/>
      <c r="E289" s="1807"/>
      <c r="F289" s="1807"/>
      <c r="G289" s="1807"/>
      <c r="H289" s="1807"/>
      <c r="I289" s="1807"/>
      <c r="J289" s="1807"/>
      <c r="K289" s="1807"/>
      <c r="L289" s="1807"/>
    </row>
    <row r="290" spans="1:12" ht="19.5" customHeight="1">
      <c r="A290" s="1002"/>
      <c r="B290" s="1783" t="s">
        <v>1700</v>
      </c>
      <c r="C290" s="1783"/>
      <c r="D290" s="1783"/>
      <c r="E290" s="1783"/>
      <c r="F290" s="1783"/>
      <c r="G290" s="1783"/>
      <c r="H290" s="1783"/>
      <c r="I290" s="1783"/>
      <c r="J290" s="1783"/>
      <c r="K290" s="1783"/>
      <c r="L290" s="1783"/>
    </row>
    <row r="291" spans="1:12" ht="19.5" customHeight="1">
      <c r="A291" s="1002"/>
      <c r="B291" s="1472"/>
      <c r="C291" s="1472"/>
      <c r="D291" s="1472"/>
      <c r="E291" s="1472"/>
      <c r="F291" s="1472"/>
      <c r="G291" s="1472"/>
      <c r="H291" s="1472"/>
      <c r="I291" s="1472"/>
      <c r="J291" s="1472"/>
      <c r="K291" s="1784" t="s">
        <v>1963</v>
      </c>
      <c r="L291" s="1784"/>
    </row>
    <row r="292" spans="1:12" ht="19.5" customHeight="1">
      <c r="A292" s="1002"/>
      <c r="B292" s="1785" t="s">
        <v>1603</v>
      </c>
      <c r="C292" s="1788" t="s">
        <v>1668</v>
      </c>
      <c r="D292" s="1791" t="s">
        <v>1669</v>
      </c>
      <c r="E292" s="1792"/>
      <c r="F292" s="1792"/>
      <c r="G292" s="1792"/>
      <c r="H292" s="1792"/>
      <c r="I292" s="1792"/>
      <c r="J292" s="1792"/>
      <c r="K292" s="1793"/>
      <c r="L292" s="1794" t="s">
        <v>403</v>
      </c>
    </row>
    <row r="293" spans="1:12" ht="19.5" customHeight="1">
      <c r="A293" s="1002"/>
      <c r="B293" s="1786"/>
      <c r="C293" s="1789"/>
      <c r="D293" s="1797" t="s">
        <v>405</v>
      </c>
      <c r="E293" s="1798"/>
      <c r="F293" s="1798"/>
      <c r="G293" s="1798"/>
      <c r="H293" s="1798"/>
      <c r="I293" s="1799" t="s">
        <v>411</v>
      </c>
      <c r="J293" s="1800" t="s">
        <v>407</v>
      </c>
      <c r="K293" s="1802" t="s">
        <v>1701</v>
      </c>
      <c r="L293" s="1795"/>
    </row>
    <row r="294" spans="1:12" ht="19.5" customHeight="1">
      <c r="A294" s="1002"/>
      <c r="B294" s="1787"/>
      <c r="C294" s="1790"/>
      <c r="D294" s="1090" t="s">
        <v>408</v>
      </c>
      <c r="E294" s="1004" t="s">
        <v>888</v>
      </c>
      <c r="F294" s="1004" t="s">
        <v>409</v>
      </c>
      <c r="G294" s="1004" t="s">
        <v>410</v>
      </c>
      <c r="H294" s="1004" t="s">
        <v>406</v>
      </c>
      <c r="I294" s="1797"/>
      <c r="J294" s="1801"/>
      <c r="K294" s="1803"/>
      <c r="L294" s="1796"/>
    </row>
    <row r="295" spans="1:12" ht="19.5" customHeight="1">
      <c r="A295" s="1002"/>
      <c r="B295" s="1777" t="s">
        <v>1717</v>
      </c>
      <c r="C295" s="849" t="s">
        <v>413</v>
      </c>
      <c r="D295" s="850">
        <v>0</v>
      </c>
      <c r="E295" s="850">
        <v>0</v>
      </c>
      <c r="F295" s="850">
        <v>0</v>
      </c>
      <c r="G295" s="850">
        <v>40.048000000000002</v>
      </c>
      <c r="H295" s="850">
        <v>40.048000000000002</v>
      </c>
      <c r="I295" s="850">
        <v>0</v>
      </c>
      <c r="J295" s="850">
        <v>0</v>
      </c>
      <c r="K295" s="850">
        <v>5.25</v>
      </c>
      <c r="L295" s="851">
        <v>45.298000000000002</v>
      </c>
    </row>
    <row r="296" spans="1:12" ht="19.5" customHeight="1">
      <c r="A296" s="1002"/>
      <c r="B296" s="1777"/>
      <c r="C296" s="852" t="s">
        <v>414</v>
      </c>
      <c r="D296" s="853">
        <v>0</v>
      </c>
      <c r="E296" s="853">
        <v>0</v>
      </c>
      <c r="F296" s="853">
        <v>0</v>
      </c>
      <c r="G296" s="853">
        <v>0</v>
      </c>
      <c r="H296" s="853">
        <v>0</v>
      </c>
      <c r="I296" s="853">
        <v>0</v>
      </c>
      <c r="J296" s="853">
        <v>0</v>
      </c>
      <c r="K296" s="853">
        <v>24.119999999999997</v>
      </c>
      <c r="L296" s="854">
        <v>24.119999999999997</v>
      </c>
    </row>
    <row r="297" spans="1:12" ht="19.5" customHeight="1">
      <c r="A297" s="1002"/>
      <c r="B297" s="1777"/>
      <c r="C297" s="855" t="s">
        <v>415</v>
      </c>
      <c r="D297" s="856">
        <v>0</v>
      </c>
      <c r="E297" s="856">
        <v>0</v>
      </c>
      <c r="F297" s="856">
        <v>0</v>
      </c>
      <c r="G297" s="856">
        <v>0</v>
      </c>
      <c r="H297" s="856">
        <v>0</v>
      </c>
      <c r="I297" s="856">
        <v>0</v>
      </c>
      <c r="J297" s="856">
        <v>0</v>
      </c>
      <c r="K297" s="856">
        <v>5.0999999999999996</v>
      </c>
      <c r="L297" s="851">
        <v>5.0999999999999996</v>
      </c>
    </row>
    <row r="298" spans="1:12" ht="19.5" customHeight="1">
      <c r="A298" s="1002"/>
      <c r="B298" s="1777"/>
      <c r="C298" s="857" t="s">
        <v>1702</v>
      </c>
      <c r="D298" s="858">
        <v>0</v>
      </c>
      <c r="E298" s="858">
        <v>0</v>
      </c>
      <c r="F298" s="858">
        <v>0</v>
      </c>
      <c r="G298" s="858">
        <v>40.048000000000002</v>
      </c>
      <c r="H298" s="858">
        <v>40.048000000000002</v>
      </c>
      <c r="I298" s="858">
        <v>0</v>
      </c>
      <c r="J298" s="858">
        <v>0</v>
      </c>
      <c r="K298" s="858">
        <v>34.47</v>
      </c>
      <c r="L298" s="859">
        <v>74.518000000000001</v>
      </c>
    </row>
    <row r="299" spans="1:12" ht="19.5" customHeight="1">
      <c r="A299" s="1002"/>
      <c r="B299" s="1778" t="s">
        <v>737</v>
      </c>
      <c r="C299" s="855" t="s">
        <v>413</v>
      </c>
      <c r="D299" s="856">
        <v>0</v>
      </c>
      <c r="E299" s="856">
        <v>0</v>
      </c>
      <c r="F299" s="856">
        <v>0</v>
      </c>
      <c r="G299" s="856">
        <v>0</v>
      </c>
      <c r="H299" s="856">
        <v>0</v>
      </c>
      <c r="I299" s="856">
        <v>0</v>
      </c>
      <c r="J299" s="856">
        <v>0</v>
      </c>
      <c r="K299" s="856">
        <v>0</v>
      </c>
      <c r="L299" s="851">
        <v>0</v>
      </c>
    </row>
    <row r="300" spans="1:12" ht="19.5" customHeight="1">
      <c r="A300" s="1002"/>
      <c r="B300" s="1779"/>
      <c r="C300" s="852" t="s">
        <v>414</v>
      </c>
      <c r="D300" s="853">
        <v>0</v>
      </c>
      <c r="E300" s="853">
        <v>0</v>
      </c>
      <c r="F300" s="853">
        <v>0</v>
      </c>
      <c r="G300" s="853">
        <v>0</v>
      </c>
      <c r="H300" s="853">
        <v>0</v>
      </c>
      <c r="I300" s="853">
        <v>0</v>
      </c>
      <c r="J300" s="853">
        <v>0</v>
      </c>
      <c r="K300" s="853">
        <v>0.75</v>
      </c>
      <c r="L300" s="854">
        <v>0.75</v>
      </c>
    </row>
    <row r="301" spans="1:12" ht="19.5" customHeight="1">
      <c r="A301" s="1002"/>
      <c r="B301" s="1779"/>
      <c r="C301" s="855" t="s">
        <v>415</v>
      </c>
      <c r="D301" s="856">
        <v>0</v>
      </c>
      <c r="E301" s="856">
        <v>0</v>
      </c>
      <c r="F301" s="856">
        <v>0</v>
      </c>
      <c r="G301" s="856">
        <v>0</v>
      </c>
      <c r="H301" s="856">
        <v>0</v>
      </c>
      <c r="I301" s="856">
        <v>0</v>
      </c>
      <c r="J301" s="856">
        <v>0</v>
      </c>
      <c r="K301" s="856">
        <v>0</v>
      </c>
      <c r="L301" s="851">
        <v>0</v>
      </c>
    </row>
    <row r="302" spans="1:12" ht="19.5" customHeight="1">
      <c r="A302" s="1002"/>
      <c r="B302" s="1780"/>
      <c r="C302" s="857" t="s">
        <v>1702</v>
      </c>
      <c r="D302" s="858">
        <v>0</v>
      </c>
      <c r="E302" s="858">
        <v>0</v>
      </c>
      <c r="F302" s="858">
        <v>0</v>
      </c>
      <c r="G302" s="858">
        <v>0</v>
      </c>
      <c r="H302" s="858">
        <v>0</v>
      </c>
      <c r="I302" s="858">
        <v>0</v>
      </c>
      <c r="J302" s="858">
        <v>0</v>
      </c>
      <c r="K302" s="858">
        <v>0.75</v>
      </c>
      <c r="L302" s="859">
        <v>0.75</v>
      </c>
    </row>
    <row r="303" spans="1:12" ht="19.5" customHeight="1">
      <c r="A303" s="1002"/>
      <c r="B303" s="1781" t="s">
        <v>1718</v>
      </c>
      <c r="C303" s="855" t="s">
        <v>413</v>
      </c>
      <c r="D303" s="856">
        <v>0</v>
      </c>
      <c r="E303" s="856">
        <v>0</v>
      </c>
      <c r="F303" s="856">
        <v>0</v>
      </c>
      <c r="G303" s="856">
        <v>40.048000000000002</v>
      </c>
      <c r="H303" s="856">
        <v>40.048000000000002</v>
      </c>
      <c r="I303" s="856">
        <v>0</v>
      </c>
      <c r="J303" s="856">
        <v>0</v>
      </c>
      <c r="K303" s="856">
        <v>5.25</v>
      </c>
      <c r="L303" s="851">
        <v>45.298000000000002</v>
      </c>
    </row>
    <row r="304" spans="1:12" ht="19.5" customHeight="1">
      <c r="A304" s="1002"/>
      <c r="B304" s="1777"/>
      <c r="C304" s="852" t="s">
        <v>414</v>
      </c>
      <c r="D304" s="853">
        <v>0</v>
      </c>
      <c r="E304" s="853">
        <v>0</v>
      </c>
      <c r="F304" s="853">
        <v>0</v>
      </c>
      <c r="G304" s="853">
        <v>0</v>
      </c>
      <c r="H304" s="853">
        <v>0</v>
      </c>
      <c r="I304" s="853">
        <v>0</v>
      </c>
      <c r="J304" s="853">
        <v>0</v>
      </c>
      <c r="K304" s="853">
        <v>24.869999999999997</v>
      </c>
      <c r="L304" s="854">
        <v>24.869999999999997</v>
      </c>
    </row>
    <row r="305" spans="1:12" ht="19.5" customHeight="1">
      <c r="A305" s="1002"/>
      <c r="B305" s="1777"/>
      <c r="C305" s="855" t="s">
        <v>415</v>
      </c>
      <c r="D305" s="856">
        <v>0</v>
      </c>
      <c r="E305" s="856">
        <v>0</v>
      </c>
      <c r="F305" s="856">
        <v>0</v>
      </c>
      <c r="G305" s="856">
        <v>0</v>
      </c>
      <c r="H305" s="856">
        <v>0</v>
      </c>
      <c r="I305" s="856">
        <v>0</v>
      </c>
      <c r="J305" s="856">
        <v>0</v>
      </c>
      <c r="K305" s="856">
        <v>5.0999999999999996</v>
      </c>
      <c r="L305" s="851">
        <v>5.0999999999999996</v>
      </c>
    </row>
    <row r="306" spans="1:12" ht="19.5" customHeight="1">
      <c r="A306" s="1002"/>
      <c r="B306" s="1782"/>
      <c r="C306" s="860" t="s">
        <v>403</v>
      </c>
      <c r="D306" s="861">
        <v>0</v>
      </c>
      <c r="E306" s="861">
        <v>0</v>
      </c>
      <c r="F306" s="861">
        <v>0</v>
      </c>
      <c r="G306" s="861">
        <v>40.048000000000002</v>
      </c>
      <c r="H306" s="861">
        <v>40.048000000000002</v>
      </c>
      <c r="I306" s="861">
        <v>0</v>
      </c>
      <c r="J306" s="861">
        <v>0</v>
      </c>
      <c r="K306" s="861">
        <v>35.22</v>
      </c>
      <c r="L306" s="862">
        <v>75.268000000000001</v>
      </c>
    </row>
    <row r="307" spans="1:12" ht="19.5" customHeight="1">
      <c r="A307" s="1002"/>
      <c r="B307" s="1020"/>
      <c r="C307" s="1021"/>
      <c r="D307" s="1022"/>
      <c r="E307" s="1022"/>
      <c r="F307" s="1022"/>
      <c r="G307" s="1023"/>
      <c r="H307" s="1022"/>
      <c r="I307" s="1022"/>
      <c r="J307" s="1022"/>
      <c r="K307" s="1022"/>
      <c r="L307" s="1022"/>
    </row>
    <row r="308" spans="1:12" ht="19.5" customHeight="1">
      <c r="A308" s="1002"/>
      <c r="B308" s="1020"/>
      <c r="C308" s="1021"/>
      <c r="D308" s="1022"/>
      <c r="E308" s="1022"/>
      <c r="F308" s="1022"/>
      <c r="G308" s="1023"/>
      <c r="H308" s="1022"/>
      <c r="I308" s="1022"/>
      <c r="J308" s="1022"/>
      <c r="K308" s="1022"/>
      <c r="L308" s="1022"/>
    </row>
    <row r="309" spans="1:12" ht="19.5" customHeight="1">
      <c r="A309" s="1002"/>
      <c r="B309" s="1020"/>
      <c r="C309" s="1021"/>
      <c r="D309" s="1022"/>
      <c r="E309" s="1022"/>
      <c r="F309" s="1022"/>
      <c r="G309" s="1023"/>
      <c r="H309" s="1022"/>
      <c r="I309" s="1022"/>
      <c r="J309" s="1022"/>
      <c r="K309" s="1022"/>
      <c r="L309" s="1022"/>
    </row>
    <row r="310" spans="1:12" ht="19.5" customHeight="1">
      <c r="A310" s="1002"/>
      <c r="B310" s="1020"/>
      <c r="C310" s="1021"/>
      <c r="D310" s="1022"/>
      <c r="E310" s="1022"/>
      <c r="F310" s="1022"/>
      <c r="G310" s="1023"/>
      <c r="H310" s="1022"/>
      <c r="I310" s="1022"/>
      <c r="J310" s="1022"/>
      <c r="K310" s="1022"/>
      <c r="L310" s="1022"/>
    </row>
    <row r="311" spans="1:12" ht="19.5" customHeight="1">
      <c r="A311" s="1002"/>
      <c r="B311" s="1020"/>
      <c r="C311" s="1021"/>
      <c r="D311" s="1022"/>
      <c r="E311" s="1022"/>
      <c r="F311" s="1022"/>
      <c r="G311" s="1023"/>
      <c r="H311" s="1022"/>
      <c r="I311" s="1022"/>
      <c r="J311" s="1022"/>
      <c r="K311" s="1022"/>
      <c r="L311" s="1022"/>
    </row>
    <row r="312" spans="1:12" ht="19.5" customHeight="1">
      <c r="A312" s="1002"/>
      <c r="B312" s="1020"/>
      <c r="C312" s="1021"/>
      <c r="D312" s="1022"/>
      <c r="E312" s="1022"/>
      <c r="F312" s="1022"/>
      <c r="G312" s="1023"/>
      <c r="H312" s="1022"/>
      <c r="I312" s="1022"/>
      <c r="J312" s="1022"/>
      <c r="K312" s="1022"/>
      <c r="L312" s="1022"/>
    </row>
    <row r="313" spans="1:12" ht="19.5" customHeight="1">
      <c r="A313" s="1002"/>
      <c r="B313" s="1020"/>
      <c r="C313" s="1021"/>
      <c r="D313" s="1022"/>
      <c r="E313" s="1022"/>
      <c r="F313" s="1022"/>
      <c r="G313" s="1023"/>
      <c r="H313" s="1022"/>
      <c r="I313" s="1022"/>
      <c r="J313" s="1022"/>
      <c r="K313" s="1022"/>
      <c r="L313" s="1022"/>
    </row>
    <row r="314" spans="1:12" ht="19.5" customHeight="1">
      <c r="B314" s="682"/>
      <c r="C314" s="683"/>
      <c r="D314" s="684"/>
      <c r="E314" s="684"/>
      <c r="F314" s="684"/>
      <c r="G314" s="685"/>
      <c r="H314" s="684"/>
      <c r="I314" s="684"/>
      <c r="J314" s="684"/>
      <c r="K314" s="684"/>
      <c r="L314" s="684"/>
    </row>
    <row r="315" spans="1:12" ht="19.5" customHeight="1">
      <c r="B315" s="682"/>
      <c r="C315" s="683"/>
      <c r="D315" s="684"/>
      <c r="E315" s="684"/>
      <c r="F315" s="684"/>
      <c r="G315" s="685"/>
      <c r="H315" s="684"/>
      <c r="I315" s="684"/>
      <c r="J315" s="684"/>
      <c r="K315" s="684"/>
      <c r="L315" s="684"/>
    </row>
    <row r="316" spans="1:12" ht="19.5" customHeight="1">
      <c r="B316" s="682"/>
      <c r="C316" s="683"/>
      <c r="D316" s="684"/>
      <c r="E316" s="684"/>
      <c r="F316" s="684"/>
      <c r="G316" s="685"/>
      <c r="H316" s="684"/>
      <c r="I316" s="684"/>
      <c r="J316" s="684"/>
      <c r="K316" s="684"/>
      <c r="L316" s="684"/>
    </row>
    <row r="317" spans="1:12" ht="19.5" customHeight="1">
      <c r="B317" s="682"/>
      <c r="C317" s="683"/>
      <c r="D317" s="684"/>
      <c r="E317" s="684"/>
      <c r="F317" s="684"/>
      <c r="G317" s="685"/>
      <c r="H317" s="684"/>
      <c r="I317" s="684"/>
      <c r="J317" s="684"/>
      <c r="K317" s="684"/>
      <c r="L317" s="684"/>
    </row>
    <row r="318" spans="1:12" ht="19.5" customHeight="1">
      <c r="B318" s="682"/>
      <c r="C318" s="683"/>
      <c r="D318" s="684"/>
      <c r="E318" s="684"/>
      <c r="F318" s="684"/>
      <c r="G318" s="685"/>
      <c r="H318" s="684"/>
      <c r="I318" s="684"/>
      <c r="J318" s="684"/>
      <c r="K318" s="684"/>
      <c r="L318" s="684"/>
    </row>
    <row r="319" spans="1:12" ht="19.5" customHeight="1">
      <c r="B319" s="682"/>
      <c r="C319" s="683"/>
      <c r="D319" s="684"/>
      <c r="E319" s="684"/>
      <c r="F319" s="684"/>
      <c r="G319" s="685"/>
      <c r="H319" s="684"/>
      <c r="I319" s="684"/>
      <c r="J319" s="684"/>
      <c r="K319" s="684"/>
      <c r="L319" s="684"/>
    </row>
    <row r="320" spans="1:12" ht="19.5" customHeight="1">
      <c r="B320" s="682"/>
      <c r="C320" s="683"/>
      <c r="D320" s="684"/>
      <c r="E320" s="684"/>
      <c r="F320" s="684"/>
      <c r="G320" s="685"/>
      <c r="H320" s="684"/>
      <c r="I320" s="684"/>
      <c r="J320" s="684"/>
      <c r="K320" s="684"/>
      <c r="L320" s="684"/>
    </row>
    <row r="321" spans="2:12" ht="19.5" customHeight="1">
      <c r="B321" s="682"/>
      <c r="C321" s="683"/>
      <c r="D321" s="684"/>
      <c r="E321" s="684"/>
      <c r="F321" s="684"/>
      <c r="G321" s="685"/>
      <c r="H321" s="684"/>
      <c r="I321" s="684"/>
      <c r="J321" s="684"/>
      <c r="K321" s="684"/>
      <c r="L321" s="684"/>
    </row>
    <row r="322" spans="2:12" ht="19.5" customHeight="1">
      <c r="B322" s="682"/>
      <c r="C322" s="683"/>
      <c r="D322" s="684"/>
      <c r="E322" s="684"/>
      <c r="F322" s="684"/>
      <c r="G322" s="685"/>
      <c r="H322" s="684"/>
      <c r="I322" s="684"/>
      <c r="J322" s="684"/>
      <c r="K322" s="684"/>
      <c r="L322" s="684"/>
    </row>
    <row r="323" spans="2:12" ht="19.5" customHeight="1">
      <c r="B323" s="682"/>
      <c r="C323" s="683"/>
      <c r="D323" s="684"/>
      <c r="E323" s="684"/>
      <c r="F323" s="684"/>
      <c r="G323" s="685"/>
      <c r="H323" s="684"/>
      <c r="I323" s="684"/>
      <c r="J323" s="684"/>
      <c r="K323" s="684"/>
      <c r="L323" s="684"/>
    </row>
    <row r="324" spans="2:12" ht="19.5" customHeight="1">
      <c r="B324" s="682"/>
      <c r="C324" s="683"/>
      <c r="D324" s="684"/>
      <c r="E324" s="684"/>
      <c r="F324" s="684"/>
      <c r="G324" s="685"/>
      <c r="H324" s="684"/>
      <c r="I324" s="684"/>
      <c r="J324" s="684"/>
      <c r="K324" s="684"/>
      <c r="L324" s="684"/>
    </row>
    <row r="325" spans="2:12" ht="19.5" customHeight="1">
      <c r="B325" s="682"/>
      <c r="C325" s="683"/>
      <c r="D325" s="684"/>
      <c r="E325" s="684"/>
      <c r="F325" s="684"/>
      <c r="G325" s="685"/>
      <c r="H325" s="684"/>
      <c r="I325" s="684"/>
      <c r="J325" s="684"/>
      <c r="K325" s="684"/>
      <c r="L325" s="684"/>
    </row>
    <row r="326" spans="2:12" ht="19.5" customHeight="1">
      <c r="B326" s="682"/>
      <c r="C326" s="683"/>
      <c r="D326" s="684"/>
      <c r="E326" s="684"/>
      <c r="F326" s="684"/>
      <c r="G326" s="685"/>
      <c r="H326" s="684"/>
      <c r="I326" s="684"/>
      <c r="J326" s="684"/>
      <c r="K326" s="684"/>
      <c r="L326" s="684"/>
    </row>
    <row r="327" spans="2:12" ht="19.5" customHeight="1">
      <c r="B327" s="682"/>
      <c r="C327" s="683"/>
      <c r="D327" s="684"/>
      <c r="E327" s="684"/>
      <c r="F327" s="684"/>
      <c r="G327" s="685"/>
      <c r="H327" s="684"/>
      <c r="I327" s="684"/>
      <c r="J327" s="684"/>
      <c r="K327" s="684"/>
      <c r="L327" s="684"/>
    </row>
    <row r="328" spans="2:12" ht="19.5" customHeight="1">
      <c r="B328" s="682"/>
      <c r="C328" s="683"/>
      <c r="D328" s="684"/>
      <c r="E328" s="684"/>
      <c r="F328" s="684"/>
      <c r="G328" s="685"/>
      <c r="H328" s="684"/>
      <c r="I328" s="684"/>
      <c r="J328" s="684"/>
      <c r="K328" s="684"/>
      <c r="L328" s="1478">
        <v>19</v>
      </c>
    </row>
    <row r="329" spans="2:12" ht="19.5" customHeight="1">
      <c r="B329" s="682"/>
      <c r="C329" s="683"/>
      <c r="D329" s="684"/>
      <c r="E329" s="684"/>
      <c r="F329" s="684"/>
      <c r="G329" s="685"/>
      <c r="H329" s="684"/>
      <c r="I329" s="684"/>
      <c r="J329" s="684"/>
      <c r="K329" s="684"/>
      <c r="L329" s="684"/>
    </row>
  </sheetData>
  <mergeCells count="154">
    <mergeCell ref="B9:B12"/>
    <mergeCell ref="B13:B16"/>
    <mergeCell ref="B17:B20"/>
    <mergeCell ref="B21:B24"/>
    <mergeCell ref="B25:B28"/>
    <mergeCell ref="B2:L2"/>
    <mergeCell ref="B4:L4"/>
    <mergeCell ref="B6:B8"/>
    <mergeCell ref="C6:C8"/>
    <mergeCell ref="D6:K6"/>
    <mergeCell ref="L6:L8"/>
    <mergeCell ref="D7:H7"/>
    <mergeCell ref="I7:I8"/>
    <mergeCell ref="J7:J8"/>
    <mergeCell ref="K7:K8"/>
    <mergeCell ref="E44:F44"/>
    <mergeCell ref="G44:H44"/>
    <mergeCell ref="C46:D46"/>
    <mergeCell ref="E46:F46"/>
    <mergeCell ref="C48:L48"/>
    <mergeCell ref="B29:B32"/>
    <mergeCell ref="B33:B36"/>
    <mergeCell ref="C38:L38"/>
    <mergeCell ref="C39:L39"/>
    <mergeCell ref="C42:C43"/>
    <mergeCell ref="D42:D43"/>
    <mergeCell ref="E42:H42"/>
    <mergeCell ref="I42:I43"/>
    <mergeCell ref="J42:J43"/>
    <mergeCell ref="E43:F43"/>
    <mergeCell ref="G43:H43"/>
    <mergeCell ref="C53:D53"/>
    <mergeCell ref="C55:D55"/>
    <mergeCell ref="C57:D57"/>
    <mergeCell ref="B66:L68"/>
    <mergeCell ref="C49:D49"/>
    <mergeCell ref="E49:F49"/>
    <mergeCell ref="C50:L50"/>
    <mergeCell ref="C51:L51"/>
    <mergeCell ref="C52:L52"/>
    <mergeCell ref="B69:L69"/>
    <mergeCell ref="K70:L70"/>
    <mergeCell ref="B71:B73"/>
    <mergeCell ref="C71:C73"/>
    <mergeCell ref="D71:K71"/>
    <mergeCell ref="L71:L73"/>
    <mergeCell ref="D72:H72"/>
    <mergeCell ref="I72:I73"/>
    <mergeCell ref="J72:J73"/>
    <mergeCell ref="K72:K73"/>
    <mergeCell ref="B94:B97"/>
    <mergeCell ref="B98:B101"/>
    <mergeCell ref="B102:B105"/>
    <mergeCell ref="B106:B109"/>
    <mergeCell ref="B110:C110"/>
    <mergeCell ref="B74:B77"/>
    <mergeCell ref="B78:B81"/>
    <mergeCell ref="B82:B85"/>
    <mergeCell ref="B86:B89"/>
    <mergeCell ref="B90:B93"/>
    <mergeCell ref="B111:B114"/>
    <mergeCell ref="B117:L119"/>
    <mergeCell ref="B120:L120"/>
    <mergeCell ref="K121:L121"/>
    <mergeCell ref="B122:B124"/>
    <mergeCell ref="C122:C124"/>
    <mergeCell ref="D122:K122"/>
    <mergeCell ref="L122:L124"/>
    <mergeCell ref="D123:H123"/>
    <mergeCell ref="I123:I124"/>
    <mergeCell ref="J123:J124"/>
    <mergeCell ref="K123:K124"/>
    <mergeCell ref="B145:B148"/>
    <mergeCell ref="B149:B152"/>
    <mergeCell ref="B153:C153"/>
    <mergeCell ref="B154:B157"/>
    <mergeCell ref="B162:L164"/>
    <mergeCell ref="B125:B128"/>
    <mergeCell ref="B129:B132"/>
    <mergeCell ref="B133:B136"/>
    <mergeCell ref="B137:B140"/>
    <mergeCell ref="B141:B144"/>
    <mergeCell ref="B165:L165"/>
    <mergeCell ref="K166:L166"/>
    <mergeCell ref="B167:B169"/>
    <mergeCell ref="C167:C169"/>
    <mergeCell ref="D167:K167"/>
    <mergeCell ref="L167:L169"/>
    <mergeCell ref="D168:H168"/>
    <mergeCell ref="I168:I169"/>
    <mergeCell ref="J168:J169"/>
    <mergeCell ref="K168:K169"/>
    <mergeCell ref="B190:B193"/>
    <mergeCell ref="B194:B197"/>
    <mergeCell ref="B198:C198"/>
    <mergeCell ref="B199:B202"/>
    <mergeCell ref="B205:L207"/>
    <mergeCell ref="B170:B173"/>
    <mergeCell ref="B174:B177"/>
    <mergeCell ref="B178:B181"/>
    <mergeCell ref="B182:B185"/>
    <mergeCell ref="B186:B189"/>
    <mergeCell ref="B208:L208"/>
    <mergeCell ref="K209:L209"/>
    <mergeCell ref="B210:B212"/>
    <mergeCell ref="C210:C212"/>
    <mergeCell ref="D210:K210"/>
    <mergeCell ref="L210:L212"/>
    <mergeCell ref="D211:H211"/>
    <mergeCell ref="I211:I212"/>
    <mergeCell ref="J211:J212"/>
    <mergeCell ref="K211:K212"/>
    <mergeCell ref="B233:B236"/>
    <mergeCell ref="B237:C237"/>
    <mergeCell ref="B238:B241"/>
    <mergeCell ref="B244:L246"/>
    <mergeCell ref="B247:L247"/>
    <mergeCell ref="B213:B216"/>
    <mergeCell ref="B217:B220"/>
    <mergeCell ref="B221:B224"/>
    <mergeCell ref="B225:B228"/>
    <mergeCell ref="B229:B232"/>
    <mergeCell ref="K248:L248"/>
    <mergeCell ref="B249:B251"/>
    <mergeCell ref="C249:C251"/>
    <mergeCell ref="D249:K249"/>
    <mergeCell ref="L249:L251"/>
    <mergeCell ref="D250:H250"/>
    <mergeCell ref="I250:I251"/>
    <mergeCell ref="J250:J251"/>
    <mergeCell ref="K250:K251"/>
    <mergeCell ref="B272:B275"/>
    <mergeCell ref="B276:B279"/>
    <mergeCell ref="B280:C280"/>
    <mergeCell ref="B281:B284"/>
    <mergeCell ref="B287:L289"/>
    <mergeCell ref="B252:B255"/>
    <mergeCell ref="B256:B259"/>
    <mergeCell ref="B260:B263"/>
    <mergeCell ref="B264:B267"/>
    <mergeCell ref="B268:B271"/>
    <mergeCell ref="B295:B298"/>
    <mergeCell ref="B299:B302"/>
    <mergeCell ref="B303:B306"/>
    <mergeCell ref="B290:L290"/>
    <mergeCell ref="K291:L291"/>
    <mergeCell ref="B292:B294"/>
    <mergeCell ref="C292:C294"/>
    <mergeCell ref="D292:K292"/>
    <mergeCell ref="L292:L294"/>
    <mergeCell ref="D293:H293"/>
    <mergeCell ref="I293:I294"/>
    <mergeCell ref="J293:J294"/>
    <mergeCell ref="K293:K294"/>
  </mergeCells>
  <printOptions horizontalCentered="1" verticalCentered="1"/>
  <pageMargins left="0.75" right="0.75" top="1" bottom="1" header="0.5" footer="0.5"/>
  <pageSetup scale="51" orientation="portrait" r:id="rId1"/>
  <headerFooter alignWithMargins="0"/>
  <rowBreaks count="7" manualBreakCount="7">
    <brk id="64" min="1" max="11" man="1"/>
    <brk id="115" min="1" max="11" man="1"/>
    <brk id="160" min="1" max="11" man="1"/>
    <brk id="203" min="1" max="11" man="1"/>
    <brk id="242" min="1" max="11" man="1"/>
    <brk id="285" min="1" max="11" man="1"/>
    <brk id="328" min="1" max="10" man="1"/>
  </rowBreaks>
  <colBreaks count="1" manualBreakCount="1">
    <brk id="12" max="1048575" man="1"/>
  </colBreaks>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2060"/>
  </sheetPr>
  <dimension ref="A4:J435"/>
  <sheetViews>
    <sheetView view="pageBreakPreview" zoomScale="64" zoomScaleNormal="100" zoomScaleSheetLayoutView="64" workbookViewId="0">
      <selection activeCell="J28" sqref="J28"/>
    </sheetView>
  </sheetViews>
  <sheetFormatPr defaultColWidth="9.140625" defaultRowHeight="12.75"/>
  <cols>
    <col min="1" max="1" width="7" style="1" customWidth="1"/>
    <col min="2" max="2" width="6" style="1" customWidth="1"/>
    <col min="3" max="3" width="70" style="1" customWidth="1"/>
    <col min="4" max="4" width="8.28515625" style="1" customWidth="1"/>
    <col min="5" max="5" width="4.85546875" style="1" customWidth="1"/>
    <col min="6" max="16384" width="9.140625" style="1"/>
  </cols>
  <sheetData>
    <row r="4" spans="2:4" ht="20.25">
      <c r="B4" s="1755" t="s">
        <v>26</v>
      </c>
      <c r="C4" s="1755"/>
      <c r="D4" s="170"/>
    </row>
    <row r="5" spans="2:4">
      <c r="B5" s="152" t="s">
        <v>720</v>
      </c>
      <c r="C5" s="153" t="s">
        <v>22</v>
      </c>
      <c r="D5" s="153" t="s">
        <v>78</v>
      </c>
    </row>
    <row r="6" spans="2:4" ht="27" customHeight="1">
      <c r="B6" s="169">
        <v>1</v>
      </c>
      <c r="C6" s="161" t="s">
        <v>1207</v>
      </c>
      <c r="D6" s="566" t="s">
        <v>740</v>
      </c>
    </row>
    <row r="7" spans="2:4" ht="24" customHeight="1">
      <c r="B7" s="169">
        <v>2</v>
      </c>
      <c r="C7" s="162" t="str">
        <f>"List of Transmission Lines Commissionedduring during " &amp;TEXT( TY," mmm-yyyy")</f>
        <v>List of Transmission Lines Commissionedduring during  Jun-2021</v>
      </c>
      <c r="D7" s="566" t="s">
        <v>741</v>
      </c>
    </row>
    <row r="8" spans="2:4" ht="71.25" customHeight="1"/>
    <row r="18" spans="1:10" ht="19.5" customHeight="1">
      <c r="A18" s="412"/>
      <c r="B18" s="413"/>
      <c r="C18" s="413"/>
      <c r="D18" s="413"/>
      <c r="E18" s="413"/>
      <c r="F18" s="413"/>
      <c r="G18" s="413"/>
      <c r="H18" s="413"/>
      <c r="I18" s="413"/>
      <c r="J18" s="413"/>
    </row>
    <row r="31" spans="1:10">
      <c r="C31" s="1" t="s">
        <v>623</v>
      </c>
    </row>
    <row r="51" ht="21.75" customHeight="1"/>
    <row r="435" ht="23.25" customHeight="1"/>
  </sheetData>
  <mergeCells count="1">
    <mergeCell ref="B4:C4"/>
  </mergeCells>
  <phoneticPr fontId="17" type="noConversion"/>
  <printOptions horizontalCentered="1" verticalCentered="1"/>
  <pageMargins left="0.75" right="0.75" top="1" bottom="1" header="0.5" footer="0.5"/>
  <pageSetup scale="7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2060"/>
  </sheetPr>
  <dimension ref="A1:Z435"/>
  <sheetViews>
    <sheetView view="pageBreakPreview" zoomScale="64" zoomScaleNormal="100" zoomScaleSheetLayoutView="64" workbookViewId="0">
      <selection activeCell="J28" sqref="J28"/>
    </sheetView>
  </sheetViews>
  <sheetFormatPr defaultRowHeight="12.75"/>
  <cols>
    <col min="1" max="2" width="12.7109375" customWidth="1"/>
    <col min="3" max="3" width="5.28515625" customWidth="1"/>
    <col min="4" max="4" width="4.28515625" customWidth="1"/>
    <col min="5" max="5" width="3.85546875" customWidth="1"/>
    <col min="6" max="6" width="5.42578125" customWidth="1"/>
    <col min="7" max="7" width="3.85546875" customWidth="1"/>
    <col min="8" max="9" width="4.7109375" customWidth="1"/>
    <col min="10" max="10" width="3.42578125" customWidth="1"/>
    <col min="11" max="11" width="8.5703125" customWidth="1"/>
    <col min="12" max="12" width="5" customWidth="1"/>
    <col min="13" max="13" width="5.140625" customWidth="1"/>
    <col min="14" max="14" width="9.5703125" customWidth="1"/>
    <col min="15" max="15" width="8.5703125" customWidth="1"/>
    <col min="16" max="16" width="9.5703125" customWidth="1"/>
    <col min="17" max="18" width="5.7109375" customWidth="1"/>
    <col min="19" max="19" width="4.85546875" customWidth="1"/>
    <col min="20" max="20" width="6.5703125" customWidth="1"/>
    <col min="21" max="21" width="4.5703125" customWidth="1"/>
    <col min="22" max="22" width="6.28515625" customWidth="1"/>
    <col min="23" max="23" width="7.42578125" customWidth="1"/>
    <col min="24" max="25" width="7.5703125" customWidth="1"/>
    <col min="26" max="26" width="8" customWidth="1"/>
  </cols>
  <sheetData>
    <row r="1" spans="1:26" ht="18">
      <c r="A1" s="598"/>
      <c r="B1" s="598"/>
      <c r="C1" s="599" t="s">
        <v>1760</v>
      </c>
      <c r="D1" s="599"/>
      <c r="E1" s="599"/>
      <c r="F1" s="599"/>
      <c r="G1" s="599"/>
      <c r="H1" s="599"/>
      <c r="I1" s="599"/>
      <c r="J1" s="599"/>
      <c r="K1" s="599"/>
      <c r="L1" s="600"/>
      <c r="M1" s="600"/>
      <c r="N1" s="600"/>
      <c r="O1" s="600"/>
      <c r="P1" s="600"/>
      <c r="Q1" s="600"/>
      <c r="R1" s="600"/>
      <c r="S1" s="601"/>
      <c r="T1" s="601"/>
      <c r="U1" s="602"/>
      <c r="V1" s="602"/>
      <c r="W1" s="603"/>
      <c r="X1" s="603"/>
      <c r="Y1" s="603"/>
      <c r="Z1" s="597"/>
    </row>
    <row r="2" spans="1:26" ht="15">
      <c r="A2" s="597"/>
      <c r="B2" s="604"/>
      <c r="C2" s="597"/>
      <c r="D2" s="597"/>
      <c r="E2" s="597"/>
      <c r="F2" s="597"/>
      <c r="G2" s="597"/>
      <c r="H2" s="598"/>
      <c r="I2" s="598"/>
      <c r="J2" s="601"/>
      <c r="K2" s="601"/>
      <c r="L2" s="601"/>
      <c r="M2" s="601"/>
      <c r="N2" s="601"/>
      <c r="O2" s="601"/>
      <c r="P2" s="601"/>
      <c r="Q2" s="601"/>
      <c r="R2" s="601"/>
      <c r="S2" s="605"/>
      <c r="T2" s="601"/>
      <c r="U2" s="601"/>
      <c r="V2" s="601"/>
      <c r="W2" s="603"/>
      <c r="X2" s="603"/>
      <c r="Y2" s="603"/>
      <c r="Z2" s="606" t="str">
        <f>"As on " &amp;TEXT( EOMONTH(TY,0)," dd-mm-yy")</f>
        <v>As on  30-06-21</v>
      </c>
    </row>
    <row r="3" spans="1:26">
      <c r="A3" s="597"/>
      <c r="B3" s="597"/>
      <c r="C3" s="597"/>
      <c r="D3" s="597"/>
      <c r="E3" s="597"/>
      <c r="F3" s="597"/>
      <c r="G3" s="597"/>
      <c r="H3" s="597"/>
      <c r="I3" s="597"/>
      <c r="J3" s="597"/>
      <c r="K3" s="597"/>
      <c r="L3" s="597"/>
      <c r="M3" s="597"/>
      <c r="N3" s="597"/>
      <c r="O3" s="597"/>
      <c r="P3" s="597"/>
      <c r="Q3" s="597"/>
      <c r="R3" s="597"/>
      <c r="S3" s="597"/>
      <c r="T3" s="601"/>
      <c r="U3" s="601"/>
      <c r="V3" s="601"/>
      <c r="W3" s="603"/>
      <c r="X3" s="603"/>
      <c r="Y3" s="603"/>
      <c r="Z3" s="597"/>
    </row>
    <row r="4" spans="1:26" ht="15" thickBot="1">
      <c r="A4" s="597"/>
      <c r="B4" s="607"/>
      <c r="C4" s="597"/>
      <c r="D4" s="597"/>
      <c r="E4" s="597"/>
      <c r="F4" s="597"/>
      <c r="G4" s="597"/>
      <c r="H4" s="598"/>
      <c r="I4" s="598"/>
      <c r="J4" s="601"/>
      <c r="K4" s="601"/>
      <c r="L4" s="601"/>
      <c r="M4" s="601"/>
      <c r="N4" s="601"/>
      <c r="O4" s="601"/>
      <c r="P4" s="601"/>
      <c r="Q4" s="601"/>
      <c r="R4" s="601"/>
      <c r="S4" s="605"/>
      <c r="T4" s="601"/>
      <c r="U4" s="601"/>
      <c r="V4" s="601"/>
      <c r="W4" s="1830" t="s">
        <v>778</v>
      </c>
      <c r="X4" s="1830"/>
      <c r="Y4" s="1830"/>
      <c r="Z4" s="1830"/>
    </row>
    <row r="5" spans="1:26" ht="15.75" customHeight="1" thickBot="1">
      <c r="A5" s="1842" t="s">
        <v>779</v>
      </c>
      <c r="B5" s="1843"/>
      <c r="C5" s="1846" t="s">
        <v>1</v>
      </c>
      <c r="D5" s="1847"/>
      <c r="E5" s="1847"/>
      <c r="F5" s="1847"/>
      <c r="G5" s="1847"/>
      <c r="H5" s="1847"/>
      <c r="I5" s="1847"/>
      <c r="J5" s="1848"/>
      <c r="K5" s="1831" t="s">
        <v>451</v>
      </c>
      <c r="L5" s="1832"/>
      <c r="M5" s="1832"/>
      <c r="N5" s="1833"/>
      <c r="O5" s="1831" t="s">
        <v>452</v>
      </c>
      <c r="P5" s="1832"/>
      <c r="Q5" s="1832"/>
      <c r="R5" s="1833"/>
      <c r="S5" s="1831" t="s">
        <v>625</v>
      </c>
      <c r="T5" s="1832"/>
      <c r="U5" s="1832"/>
      <c r="V5" s="1833"/>
      <c r="W5" s="1831" t="s">
        <v>403</v>
      </c>
      <c r="X5" s="1832"/>
      <c r="Y5" s="1832"/>
      <c r="Z5" s="1833"/>
    </row>
    <row r="6" spans="1:26" ht="15" customHeight="1">
      <c r="A6" s="1844"/>
      <c r="B6" s="1845"/>
      <c r="C6" s="1837" t="s">
        <v>780</v>
      </c>
      <c r="D6" s="1838"/>
      <c r="E6" s="1838"/>
      <c r="F6" s="1839"/>
      <c r="G6" s="1837" t="s">
        <v>781</v>
      </c>
      <c r="H6" s="1838"/>
      <c r="I6" s="1838"/>
      <c r="J6" s="1839"/>
      <c r="K6" s="1834"/>
      <c r="L6" s="1835"/>
      <c r="M6" s="1835"/>
      <c r="N6" s="1836"/>
      <c r="O6" s="1834"/>
      <c r="P6" s="1835"/>
      <c r="Q6" s="1835"/>
      <c r="R6" s="1836"/>
      <c r="S6" s="1834"/>
      <c r="T6" s="1835"/>
      <c r="U6" s="1835"/>
      <c r="V6" s="1836"/>
      <c r="W6" s="1834"/>
      <c r="X6" s="1835"/>
      <c r="Y6" s="1835"/>
      <c r="Z6" s="1836"/>
    </row>
    <row r="7" spans="1:26" ht="100.5">
      <c r="A7" s="1844"/>
      <c r="B7" s="1845"/>
      <c r="C7" s="919" t="s">
        <v>448</v>
      </c>
      <c r="D7" s="914" t="s">
        <v>449</v>
      </c>
      <c r="E7" s="914" t="s">
        <v>450</v>
      </c>
      <c r="F7" s="920" t="s">
        <v>406</v>
      </c>
      <c r="G7" s="919" t="s">
        <v>448</v>
      </c>
      <c r="H7" s="914" t="s">
        <v>449</v>
      </c>
      <c r="I7" s="914" t="s">
        <v>450</v>
      </c>
      <c r="J7" s="920" t="s">
        <v>406</v>
      </c>
      <c r="K7" s="919" t="s">
        <v>448</v>
      </c>
      <c r="L7" s="914" t="s">
        <v>449</v>
      </c>
      <c r="M7" s="914" t="s">
        <v>450</v>
      </c>
      <c r="N7" s="920" t="s">
        <v>406</v>
      </c>
      <c r="O7" s="919" t="s">
        <v>448</v>
      </c>
      <c r="P7" s="914" t="s">
        <v>449</v>
      </c>
      <c r="Q7" s="914" t="s">
        <v>450</v>
      </c>
      <c r="R7" s="1031" t="s">
        <v>406</v>
      </c>
      <c r="S7" s="919" t="s">
        <v>448</v>
      </c>
      <c r="T7" s="914" t="s">
        <v>449</v>
      </c>
      <c r="U7" s="914" t="s">
        <v>450</v>
      </c>
      <c r="V7" s="1031" t="s">
        <v>406</v>
      </c>
      <c r="W7" s="921" t="s">
        <v>448</v>
      </c>
      <c r="X7" s="915" t="s">
        <v>449</v>
      </c>
      <c r="Y7" s="915" t="s">
        <v>450</v>
      </c>
      <c r="Z7" s="1032" t="s">
        <v>403</v>
      </c>
    </row>
    <row r="8" spans="1:26" ht="15">
      <c r="A8" s="1840" t="s">
        <v>1759</v>
      </c>
      <c r="B8" s="1841"/>
      <c r="C8" s="984">
        <f>Data!C398</f>
        <v>0</v>
      </c>
      <c r="D8" s="984">
        <f>Data!D398</f>
        <v>0</v>
      </c>
      <c r="E8" s="984">
        <f>Data!E398</f>
        <v>0</v>
      </c>
      <c r="F8" s="982">
        <f>SUM(C8:E8)</f>
        <v>0</v>
      </c>
      <c r="G8" s="984">
        <f>Data!G398</f>
        <v>0</v>
      </c>
      <c r="H8" s="984">
        <f>Data!H398</f>
        <v>0</v>
      </c>
      <c r="I8" s="984">
        <f>Data!I398</f>
        <v>0</v>
      </c>
      <c r="J8" s="982">
        <f>SUM(G8:I8)</f>
        <v>0</v>
      </c>
      <c r="K8" s="985">
        <f>Data!K398</f>
        <v>1988</v>
      </c>
      <c r="L8" s="985">
        <f>Data!L398</f>
        <v>1328</v>
      </c>
      <c r="M8" s="985">
        <f>Data!M398</f>
        <v>2636</v>
      </c>
      <c r="N8" s="977">
        <f>SUM(K8:M8)</f>
        <v>5952</v>
      </c>
      <c r="O8" s="985">
        <f>Data!O398</f>
        <v>699</v>
      </c>
      <c r="P8" s="985">
        <f>Data!P398</f>
        <v>3567</v>
      </c>
      <c r="Q8" s="985">
        <f>Data!Q398</f>
        <v>848</v>
      </c>
      <c r="R8" s="982">
        <f>SUM(O8:Q8)</f>
        <v>5114</v>
      </c>
      <c r="S8" s="985">
        <f>Data!S398</f>
        <v>784</v>
      </c>
      <c r="T8" s="985">
        <f>Data!T398</f>
        <v>7365</v>
      </c>
      <c r="U8" s="985">
        <f>Data!U398</f>
        <v>40</v>
      </c>
      <c r="V8" s="982">
        <f>SUM(S8:U8)</f>
        <v>8189</v>
      </c>
      <c r="W8" s="986">
        <f t="shared" ref="W8:Y12" si="0">SUM(C8,G8,K8,O8,S8)</f>
        <v>3471</v>
      </c>
      <c r="X8" s="986">
        <f t="shared" si="0"/>
        <v>12260</v>
      </c>
      <c r="Y8" s="986">
        <f t="shared" si="0"/>
        <v>3524</v>
      </c>
      <c r="Z8" s="987">
        <f>W8+X8+Y8</f>
        <v>19255</v>
      </c>
    </row>
    <row r="9" spans="1:26" ht="15">
      <c r="A9" s="922">
        <f>TY</f>
        <v>44348</v>
      </c>
      <c r="B9" s="916" t="s">
        <v>446</v>
      </c>
      <c r="C9" s="984">
        <f>Data!C399</f>
        <v>0</v>
      </c>
      <c r="D9" s="984">
        <f>Data!D399</f>
        <v>0</v>
      </c>
      <c r="E9" s="984">
        <f>Data!E399</f>
        <v>0</v>
      </c>
      <c r="F9" s="982">
        <f>SUM(C9:E9)</f>
        <v>0</v>
      </c>
      <c r="G9" s="984">
        <f>Data!G399</f>
        <v>0</v>
      </c>
      <c r="H9" s="984">
        <f>Data!H399</f>
        <v>0</v>
      </c>
      <c r="I9" s="984">
        <f>Data!I399</f>
        <v>0</v>
      </c>
      <c r="J9" s="982">
        <f>SUM(G9:I9)</f>
        <v>0</v>
      </c>
      <c r="K9" s="985">
        <f>Data!K399</f>
        <v>374</v>
      </c>
      <c r="L9" s="985">
        <f>Data!L399</f>
        <v>555</v>
      </c>
      <c r="M9" s="985">
        <f>Data!M399</f>
        <v>790</v>
      </c>
      <c r="N9" s="977">
        <f>SUM(K9:M9)</f>
        <v>1719</v>
      </c>
      <c r="O9" s="985">
        <f>Data!O399</f>
        <v>0</v>
      </c>
      <c r="P9" s="985">
        <f>Data!P399</f>
        <v>186</v>
      </c>
      <c r="Q9" s="985">
        <f>Data!Q399</f>
        <v>0</v>
      </c>
      <c r="R9" s="982">
        <f>SUM(O9:Q9)</f>
        <v>186</v>
      </c>
      <c r="S9" s="985">
        <f>Data!S399</f>
        <v>0</v>
      </c>
      <c r="T9" s="985">
        <f>Data!T399</f>
        <v>1785</v>
      </c>
      <c r="U9" s="985">
        <f>Data!U399</f>
        <v>0</v>
      </c>
      <c r="V9" s="982">
        <f>SUM(S9:U9)</f>
        <v>1785</v>
      </c>
      <c r="W9" s="986">
        <f t="shared" si="0"/>
        <v>374</v>
      </c>
      <c r="X9" s="986">
        <f t="shared" si="0"/>
        <v>2526</v>
      </c>
      <c r="Y9" s="986">
        <f t="shared" si="0"/>
        <v>790</v>
      </c>
      <c r="Z9" s="987">
        <f>W9+X9+Y9</f>
        <v>3690</v>
      </c>
    </row>
    <row r="10" spans="1:26" ht="15">
      <c r="A10" s="911"/>
      <c r="B10" s="916" t="s">
        <v>444</v>
      </c>
      <c r="C10" s="984">
        <f>Data!C400</f>
        <v>0</v>
      </c>
      <c r="D10" s="984">
        <f>Data!D400</f>
        <v>0</v>
      </c>
      <c r="E10" s="984">
        <f>Data!E400</f>
        <v>0</v>
      </c>
      <c r="F10" s="982">
        <f>SUM(C10:E10)</f>
        <v>0</v>
      </c>
      <c r="G10" s="984">
        <f>Data!G400</f>
        <v>0</v>
      </c>
      <c r="H10" s="984">
        <f>Data!H400</f>
        <v>0</v>
      </c>
      <c r="I10" s="984">
        <f>Data!I400</f>
        <v>0</v>
      </c>
      <c r="J10" s="982">
        <f>SUM(G10:I10)</f>
        <v>0</v>
      </c>
      <c r="K10" s="985">
        <f>Data!K400</f>
        <v>0</v>
      </c>
      <c r="L10" s="985">
        <f>Data!L400</f>
        <v>0</v>
      </c>
      <c r="M10" s="985">
        <f>Data!M400</f>
        <v>0</v>
      </c>
      <c r="N10" s="977">
        <f>SUM(K10:M10)</f>
        <v>0</v>
      </c>
      <c r="O10" s="985">
        <f>Data!O400</f>
        <v>328</v>
      </c>
      <c r="P10" s="985">
        <f>Data!P400</f>
        <v>0</v>
      </c>
      <c r="Q10" s="985">
        <f>Data!Q400</f>
        <v>0</v>
      </c>
      <c r="R10" s="982">
        <f>SUM(O10:Q10)</f>
        <v>328</v>
      </c>
      <c r="S10" s="985">
        <f>Data!S400</f>
        <v>0</v>
      </c>
      <c r="T10" s="985">
        <f>Data!T400</f>
        <v>523</v>
      </c>
      <c r="U10" s="985">
        <f>Data!U400</f>
        <v>0</v>
      </c>
      <c r="V10" s="982">
        <f>SUM(S10:U10)</f>
        <v>523</v>
      </c>
      <c r="W10" s="986">
        <f t="shared" si="0"/>
        <v>328</v>
      </c>
      <c r="X10" s="986">
        <f t="shared" si="0"/>
        <v>523</v>
      </c>
      <c r="Y10" s="986">
        <f t="shared" si="0"/>
        <v>0</v>
      </c>
      <c r="Z10" s="987">
        <f>W10+X10+Y10</f>
        <v>851</v>
      </c>
    </row>
    <row r="11" spans="1:26" ht="15">
      <c r="A11" s="912" t="str">
        <f>CONCATENATE("Upto ",TEXT($A$9,"mmm-yy"))</f>
        <v>Upto Jun-21</v>
      </c>
      <c r="B11" s="917" t="s">
        <v>446</v>
      </c>
      <c r="C11" s="984">
        <f>Data!C401</f>
        <v>0</v>
      </c>
      <c r="D11" s="984">
        <f>Data!D401</f>
        <v>0</v>
      </c>
      <c r="E11" s="984">
        <f>Data!E401</f>
        <v>0</v>
      </c>
      <c r="F11" s="982">
        <f>SUM(C11:E11)</f>
        <v>0</v>
      </c>
      <c r="G11" s="984">
        <f>Data!G401</f>
        <v>0</v>
      </c>
      <c r="H11" s="984">
        <f>Data!H401</f>
        <v>0</v>
      </c>
      <c r="I11" s="984">
        <f>Data!I401</f>
        <v>0</v>
      </c>
      <c r="J11" s="982">
        <f>SUM(G11:I11)</f>
        <v>0</v>
      </c>
      <c r="K11" s="985">
        <f>Data!K401</f>
        <v>712</v>
      </c>
      <c r="L11" s="985">
        <f>Data!L401</f>
        <v>902</v>
      </c>
      <c r="M11" s="985">
        <f>Data!M401</f>
        <v>1271</v>
      </c>
      <c r="N11" s="977">
        <f>SUM(K11:M11)</f>
        <v>2885</v>
      </c>
      <c r="O11" s="985">
        <f>Data!O401</f>
        <v>51</v>
      </c>
      <c r="P11" s="985">
        <f>Data!P401</f>
        <v>314</v>
      </c>
      <c r="Q11" s="985">
        <f>Data!Q401</f>
        <v>4</v>
      </c>
      <c r="R11" s="982">
        <f>SUM(O11:Q11)</f>
        <v>369</v>
      </c>
      <c r="S11" s="985">
        <f>Data!S401</f>
        <v>0</v>
      </c>
      <c r="T11" s="985">
        <f>Data!T401</f>
        <v>3310</v>
      </c>
      <c r="U11" s="985">
        <f>Data!U401</f>
        <v>0</v>
      </c>
      <c r="V11" s="982">
        <f>SUM(S11:U11)</f>
        <v>3310</v>
      </c>
      <c r="W11" s="986">
        <f t="shared" si="0"/>
        <v>763</v>
      </c>
      <c r="X11" s="986">
        <f t="shared" si="0"/>
        <v>4526</v>
      </c>
      <c r="Y11" s="986">
        <f t="shared" si="0"/>
        <v>1275</v>
      </c>
      <c r="Z11" s="987">
        <f>W11+X11+Y11</f>
        <v>6564</v>
      </c>
    </row>
    <row r="12" spans="1:26" ht="15.75" thickBot="1">
      <c r="A12" s="913"/>
      <c r="B12" s="918" t="s">
        <v>444</v>
      </c>
      <c r="C12" s="1479">
        <f>Data!C402</f>
        <v>0</v>
      </c>
      <c r="D12" s="1479">
        <f>Data!D402</f>
        <v>0</v>
      </c>
      <c r="E12" s="1479">
        <f>Data!E402</f>
        <v>0</v>
      </c>
      <c r="F12" s="976">
        <f>SUM(C12:E12)</f>
        <v>0</v>
      </c>
      <c r="G12" s="1479">
        <f>Data!G402</f>
        <v>0</v>
      </c>
      <c r="H12" s="1479">
        <f>Data!H402</f>
        <v>0</v>
      </c>
      <c r="I12" s="1479">
        <f>Data!I402</f>
        <v>0</v>
      </c>
      <c r="J12" s="976">
        <f>SUM(G12:I12)</f>
        <v>0</v>
      </c>
      <c r="K12" s="1480">
        <f>Data!K402</f>
        <v>268</v>
      </c>
      <c r="L12" s="1480">
        <f>Data!L402</f>
        <v>0</v>
      </c>
      <c r="M12" s="1480">
        <f>Data!M402</f>
        <v>0</v>
      </c>
      <c r="N12" s="978">
        <f>SUM(K12:M12)</f>
        <v>268</v>
      </c>
      <c r="O12" s="1480">
        <f>Data!O402</f>
        <v>581</v>
      </c>
      <c r="P12" s="1480">
        <f>Data!P402</f>
        <v>61</v>
      </c>
      <c r="Q12" s="1480">
        <f>Data!Q402</f>
        <v>0</v>
      </c>
      <c r="R12" s="976">
        <f>SUM(O12:Q12)</f>
        <v>642</v>
      </c>
      <c r="S12" s="1480">
        <f>Data!S402</f>
        <v>0</v>
      </c>
      <c r="T12" s="1480">
        <f>Data!T402</f>
        <v>640</v>
      </c>
      <c r="U12" s="1480">
        <f>Data!U402</f>
        <v>0</v>
      </c>
      <c r="V12" s="976">
        <f>SUM(S12:U12)</f>
        <v>640</v>
      </c>
      <c r="W12" s="1481">
        <f t="shared" si="0"/>
        <v>849</v>
      </c>
      <c r="X12" s="1481">
        <f t="shared" si="0"/>
        <v>701</v>
      </c>
      <c r="Y12" s="1481">
        <f t="shared" si="0"/>
        <v>0</v>
      </c>
      <c r="Z12" s="979">
        <f>W12+X12+Y12</f>
        <v>1550</v>
      </c>
    </row>
    <row r="14" spans="1:26">
      <c r="X14" s="829"/>
    </row>
    <row r="22" spans="26:26">
      <c r="Z22" s="661" t="s">
        <v>740</v>
      </c>
    </row>
    <row r="51" ht="21.75" customHeight="1"/>
    <row r="435" ht="23.25" customHeight="1"/>
  </sheetData>
  <mergeCells count="10">
    <mergeCell ref="A8:B8"/>
    <mergeCell ref="A5:B7"/>
    <mergeCell ref="C5:J5"/>
    <mergeCell ref="K5:N6"/>
    <mergeCell ref="O5:R6"/>
    <mergeCell ref="W4:Z4"/>
    <mergeCell ref="S5:V6"/>
    <mergeCell ref="W5:Z6"/>
    <mergeCell ref="C6:F6"/>
    <mergeCell ref="G6:J6"/>
  </mergeCells>
  <printOptions horizontalCentered="1" verticalCentered="1"/>
  <pageMargins left="0.75" right="0.75" top="1" bottom="1" header="0.5" footer="0.5"/>
  <pageSetup scale="5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002060"/>
  </sheetPr>
  <dimension ref="B1:H420"/>
  <sheetViews>
    <sheetView tabSelected="1" view="pageBreakPreview" topLeftCell="A16" zoomScale="115" zoomScaleNormal="100" zoomScaleSheetLayoutView="115" workbookViewId="0">
      <selection activeCell="J28" sqref="J28"/>
    </sheetView>
  </sheetViews>
  <sheetFormatPr defaultColWidth="9.140625" defaultRowHeight="12.75"/>
  <cols>
    <col min="1" max="1" width="9.140625" style="1328"/>
    <col min="2" max="2" width="5.140625" style="1328" customWidth="1"/>
    <col min="3" max="3" width="9.28515625" style="1328" customWidth="1"/>
    <col min="4" max="4" width="52.28515625" style="1328" customWidth="1"/>
    <col min="5" max="5" width="10.140625" style="1328" customWidth="1"/>
    <col min="6" max="6" width="13.42578125" style="1328" customWidth="1"/>
    <col min="7" max="7" width="8.85546875" style="1328" customWidth="1"/>
    <col min="8" max="8" width="18" style="1328" customWidth="1"/>
    <col min="9" max="16384" width="9.140625" style="1328"/>
  </cols>
  <sheetData>
    <row r="1" spans="2:8" ht="50.25" customHeight="1">
      <c r="B1" s="1850" t="s">
        <v>1936</v>
      </c>
      <c r="C1" s="1850"/>
      <c r="D1" s="1850"/>
      <c r="E1" s="1850"/>
      <c r="F1" s="1850"/>
      <c r="G1" s="1850"/>
      <c r="H1" s="1343"/>
    </row>
    <row r="2" spans="2:8" ht="12.75" customHeight="1">
      <c r="B2" s="1343"/>
      <c r="C2" s="1343"/>
      <c r="D2" s="1343"/>
      <c r="E2" s="1343"/>
      <c r="F2" s="1849" t="s">
        <v>1937</v>
      </c>
      <c r="G2" s="1849"/>
      <c r="H2" s="1849"/>
    </row>
    <row r="3" spans="2:8" ht="45.75" customHeight="1">
      <c r="B3" s="1483" t="s">
        <v>1762</v>
      </c>
      <c r="C3" s="1483" t="s">
        <v>1763</v>
      </c>
      <c r="D3" s="1484" t="s">
        <v>1764</v>
      </c>
      <c r="E3" s="1484" t="s">
        <v>1765</v>
      </c>
      <c r="F3" s="1484" t="s">
        <v>1766</v>
      </c>
      <c r="G3" s="1484" t="s">
        <v>1767</v>
      </c>
      <c r="H3" s="1343"/>
    </row>
    <row r="4" spans="2:8" ht="15.75" customHeight="1">
      <c r="B4" s="1485" t="s">
        <v>1768</v>
      </c>
      <c r="C4" s="1485" t="s">
        <v>1769</v>
      </c>
      <c r="D4" s="1486" t="s">
        <v>1770</v>
      </c>
      <c r="E4" s="1486" t="s">
        <v>1771</v>
      </c>
      <c r="F4" s="1486" t="s">
        <v>1772</v>
      </c>
      <c r="G4" s="1486" t="s">
        <v>1773</v>
      </c>
      <c r="H4" s="1343"/>
    </row>
    <row r="5" spans="2:8" ht="2.25" customHeight="1">
      <c r="B5" s="1849" t="s">
        <v>1774</v>
      </c>
      <c r="C5" s="1849"/>
      <c r="D5" s="1849"/>
      <c r="E5" s="1849"/>
      <c r="F5" s="1849"/>
      <c r="G5" s="1849"/>
      <c r="H5" s="1343"/>
    </row>
    <row r="6" spans="2:8">
      <c r="B6" s="1344">
        <v>1</v>
      </c>
      <c r="C6" s="1344" t="s">
        <v>1775</v>
      </c>
      <c r="D6" s="1345" t="s">
        <v>2009</v>
      </c>
      <c r="E6" s="1346" t="s">
        <v>1776</v>
      </c>
      <c r="F6" s="1346" t="s">
        <v>1777</v>
      </c>
      <c r="G6" s="1347">
        <v>326</v>
      </c>
      <c r="H6" s="1343"/>
    </row>
    <row r="7" spans="2:8" ht="24" customHeight="1">
      <c r="B7" s="1344">
        <v>2</v>
      </c>
      <c r="C7" s="1344" t="s">
        <v>1775</v>
      </c>
      <c r="D7" s="1345" t="s">
        <v>2010</v>
      </c>
      <c r="E7" s="1346" t="s">
        <v>1783</v>
      </c>
      <c r="F7" s="1346" t="s">
        <v>1777</v>
      </c>
      <c r="G7" s="1347">
        <v>2</v>
      </c>
      <c r="H7" s="1343"/>
    </row>
    <row r="8" spans="2:8" ht="24" customHeight="1">
      <c r="B8" s="1854" t="s">
        <v>1778</v>
      </c>
      <c r="C8" s="1854"/>
      <c r="D8" s="1854"/>
      <c r="E8" s="1854"/>
      <c r="F8" s="1489"/>
      <c r="G8" s="1490">
        <v>328</v>
      </c>
      <c r="H8" s="1343"/>
    </row>
    <row r="9" spans="2:8" ht="28.5" customHeight="1">
      <c r="B9" s="1851" t="s">
        <v>1779</v>
      </c>
      <c r="C9" s="1851"/>
      <c r="D9" s="1851"/>
      <c r="E9" s="1851"/>
      <c r="F9" s="1851"/>
      <c r="G9" s="1851"/>
      <c r="H9" s="1343"/>
    </row>
    <row r="10" spans="2:8" ht="24" customHeight="1">
      <c r="B10" s="1344">
        <v>3</v>
      </c>
      <c r="C10" s="1344" t="s">
        <v>1781</v>
      </c>
      <c r="D10" s="1345" t="s">
        <v>2011</v>
      </c>
      <c r="E10" s="1346" t="s">
        <v>1776</v>
      </c>
      <c r="F10" s="1346" t="s">
        <v>1938</v>
      </c>
      <c r="G10" s="1347">
        <v>18</v>
      </c>
      <c r="H10" s="1343"/>
    </row>
    <row r="11" spans="2:8" ht="22.5" customHeight="1">
      <c r="B11" s="1344">
        <v>4</v>
      </c>
      <c r="C11" s="1344" t="s">
        <v>1781</v>
      </c>
      <c r="D11" s="1345" t="s">
        <v>2012</v>
      </c>
      <c r="E11" s="1346" t="s">
        <v>1776</v>
      </c>
      <c r="F11" s="1346" t="s">
        <v>1780</v>
      </c>
      <c r="G11" s="1347">
        <v>80</v>
      </c>
      <c r="H11" s="1343"/>
    </row>
    <row r="12" spans="2:8" ht="22.5" customHeight="1">
      <c r="B12" s="1344">
        <v>5</v>
      </c>
      <c r="C12" s="1344" t="s">
        <v>1781</v>
      </c>
      <c r="D12" s="1345" t="s">
        <v>2013</v>
      </c>
      <c r="E12" s="1346" t="s">
        <v>1783</v>
      </c>
      <c r="F12" s="1346" t="s">
        <v>1938</v>
      </c>
      <c r="G12" s="1347">
        <v>1</v>
      </c>
      <c r="H12" s="1343"/>
    </row>
    <row r="13" spans="2:8" ht="35.25" customHeight="1">
      <c r="B13" s="1344">
        <v>6</v>
      </c>
      <c r="C13" s="1344" t="s">
        <v>1781</v>
      </c>
      <c r="D13" s="1345" t="s">
        <v>2014</v>
      </c>
      <c r="E13" s="1346" t="s">
        <v>1776</v>
      </c>
      <c r="F13" s="1346" t="s">
        <v>1938</v>
      </c>
      <c r="G13" s="1347">
        <v>1</v>
      </c>
      <c r="H13" s="1343"/>
    </row>
    <row r="14" spans="2:8" ht="36" customHeight="1">
      <c r="B14" s="1344">
        <v>7</v>
      </c>
      <c r="C14" s="1344" t="s">
        <v>1781</v>
      </c>
      <c r="D14" s="1345" t="s">
        <v>2015</v>
      </c>
      <c r="E14" s="1346" t="s">
        <v>1776</v>
      </c>
      <c r="F14" s="1346" t="s">
        <v>1938</v>
      </c>
      <c r="G14" s="1347">
        <v>19</v>
      </c>
      <c r="H14" s="1343"/>
    </row>
    <row r="15" spans="2:8" ht="27.75" customHeight="1">
      <c r="B15" s="1344">
        <v>8</v>
      </c>
      <c r="C15" s="1344" t="s">
        <v>1781</v>
      </c>
      <c r="D15" s="1345" t="s">
        <v>2016</v>
      </c>
      <c r="E15" s="1346" t="s">
        <v>1776</v>
      </c>
      <c r="F15" s="1346" t="s">
        <v>1938</v>
      </c>
      <c r="G15" s="1347">
        <v>46</v>
      </c>
      <c r="H15" s="1343"/>
    </row>
    <row r="16" spans="2:8" ht="25.5" customHeight="1">
      <c r="B16" s="1344">
        <v>9</v>
      </c>
      <c r="C16" s="1344" t="s">
        <v>1781</v>
      </c>
      <c r="D16" s="1345" t="s">
        <v>2017</v>
      </c>
      <c r="E16" s="1346" t="s">
        <v>1776</v>
      </c>
      <c r="F16" s="1346" t="s">
        <v>1939</v>
      </c>
      <c r="G16" s="1347">
        <v>4</v>
      </c>
      <c r="H16" s="1343"/>
    </row>
    <row r="17" spans="2:8" ht="25.5" customHeight="1">
      <c r="B17" s="1344">
        <v>10</v>
      </c>
      <c r="C17" s="1344" t="s">
        <v>1781</v>
      </c>
      <c r="D17" s="1345" t="s">
        <v>2018</v>
      </c>
      <c r="E17" s="1346" t="s">
        <v>1940</v>
      </c>
      <c r="F17" s="1346" t="s">
        <v>1941</v>
      </c>
      <c r="G17" s="1347">
        <v>124</v>
      </c>
      <c r="H17" s="1343"/>
    </row>
    <row r="18" spans="2:8">
      <c r="B18" s="1344">
        <v>11</v>
      </c>
      <c r="C18" s="1344" t="s">
        <v>1781</v>
      </c>
      <c r="D18" s="1345" t="s">
        <v>2019</v>
      </c>
      <c r="E18" s="1346" t="s">
        <v>1776</v>
      </c>
      <c r="F18" s="1346" t="s">
        <v>1938</v>
      </c>
      <c r="G18" s="1347">
        <v>70</v>
      </c>
      <c r="H18" s="1343"/>
    </row>
    <row r="19" spans="2:8">
      <c r="B19" s="1344">
        <v>12</v>
      </c>
      <c r="C19" s="1344" t="s">
        <v>1781</v>
      </c>
      <c r="D19" s="1345" t="s">
        <v>2020</v>
      </c>
      <c r="E19" s="1346" t="s">
        <v>1940</v>
      </c>
      <c r="F19" s="1346" t="s">
        <v>1941</v>
      </c>
      <c r="G19" s="1347">
        <v>160</v>
      </c>
      <c r="H19" s="1343"/>
    </row>
    <row r="20" spans="2:8" ht="12.75" customHeight="1">
      <c r="B20" s="1852" t="s">
        <v>1784</v>
      </c>
      <c r="C20" s="1852"/>
      <c r="D20" s="1852"/>
      <c r="E20" s="1852"/>
      <c r="F20" s="1346"/>
      <c r="G20" s="1348">
        <v>523</v>
      </c>
      <c r="H20" s="1343"/>
    </row>
    <row r="21" spans="2:8" ht="12.75" customHeight="1">
      <c r="B21" s="1853" t="s">
        <v>403</v>
      </c>
      <c r="C21" s="1853"/>
      <c r="D21" s="1853"/>
      <c r="E21" s="1853"/>
      <c r="F21" s="1346"/>
      <c r="G21" s="1348">
        <v>851</v>
      </c>
      <c r="H21" s="1343"/>
    </row>
    <row r="22" spans="2:8" s="1405" customFormat="1" ht="12.75" customHeight="1">
      <c r="B22" s="1453"/>
      <c r="C22" s="1453"/>
      <c r="D22" s="1453"/>
      <c r="E22" s="1453"/>
      <c r="F22" s="1487"/>
      <c r="G22" s="1488"/>
      <c r="H22" s="1343"/>
    </row>
    <row r="23" spans="2:8">
      <c r="G23" s="661" t="s">
        <v>741</v>
      </c>
    </row>
    <row r="36" ht="21.75" customHeight="1"/>
    <row r="420" ht="23.25" customHeight="1"/>
  </sheetData>
  <mergeCells count="7">
    <mergeCell ref="F2:H2"/>
    <mergeCell ref="B1:G1"/>
    <mergeCell ref="B9:G9"/>
    <mergeCell ref="B20:E20"/>
    <mergeCell ref="B21:E21"/>
    <mergeCell ref="B5:G5"/>
    <mergeCell ref="B8:E8"/>
  </mergeCells>
  <printOptions horizontalCentered="1" verticalCentered="1"/>
  <pageMargins left="0.75" right="0.75" top="1" bottom="1" header="0.5" footer="0.5"/>
  <pageSetup scale="71"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2060"/>
  </sheetPr>
  <dimension ref="A3:I435"/>
  <sheetViews>
    <sheetView view="pageBreakPreview" zoomScale="64" zoomScaleNormal="100" zoomScaleSheetLayoutView="64" workbookViewId="0">
      <selection activeCell="J28" sqref="J28"/>
    </sheetView>
  </sheetViews>
  <sheetFormatPr defaultRowHeight="12.75"/>
  <cols>
    <col min="1" max="1" width="8.42578125" customWidth="1"/>
    <col min="2" max="2" width="6.5703125" customWidth="1"/>
    <col min="3" max="3" width="69.7109375" customWidth="1"/>
    <col min="4" max="4" width="6.140625" customWidth="1"/>
  </cols>
  <sheetData>
    <row r="3" spans="2:4" ht="20.25">
      <c r="B3" s="1755" t="s">
        <v>481</v>
      </c>
      <c r="C3" s="1755"/>
    </row>
    <row r="4" spans="2:4" ht="20.25">
      <c r="B4" s="151"/>
      <c r="C4" s="151"/>
    </row>
    <row r="5" spans="2:4" ht="15" customHeight="1">
      <c r="B5" s="153" t="s">
        <v>77</v>
      </c>
      <c r="C5" s="153" t="s">
        <v>22</v>
      </c>
      <c r="D5" s="153" t="s">
        <v>78</v>
      </c>
    </row>
    <row r="6" spans="2:4" ht="33" customHeight="1">
      <c r="B6" s="169">
        <v>1</v>
      </c>
      <c r="C6" s="162" t="s">
        <v>1208</v>
      </c>
      <c r="D6" s="678" t="s">
        <v>742</v>
      </c>
    </row>
    <row r="7" spans="2:4" ht="25.5" customHeight="1">
      <c r="B7" s="169">
        <v>2</v>
      </c>
      <c r="C7" s="162" t="str">
        <f>"Sub Stations (220 kV and above) commissioned during" &amp; TEXT( TY," mmm-yyyy")</f>
        <v>Sub Stations (220 kV and above) commissioned during Jun-2021</v>
      </c>
      <c r="D7" s="678" t="s">
        <v>743</v>
      </c>
    </row>
    <row r="18" spans="1:9" ht="24.75" customHeight="1">
      <c r="A18" s="539">
        <v>43252</v>
      </c>
      <c r="B18" s="411"/>
      <c r="C18" s="411"/>
      <c r="D18" s="411"/>
      <c r="E18" s="411"/>
      <c r="F18" s="411"/>
      <c r="G18" s="411"/>
      <c r="H18" s="411"/>
      <c r="I18" s="411"/>
    </row>
    <row r="31" spans="1:9">
      <c r="C31" t="s">
        <v>623</v>
      </c>
    </row>
    <row r="51" ht="21.75" customHeight="1"/>
    <row r="435" ht="23.25" customHeight="1"/>
  </sheetData>
  <mergeCells count="1">
    <mergeCell ref="B3:C3"/>
  </mergeCells>
  <phoneticPr fontId="17" type="noConversion"/>
  <printOptions horizontalCentered="1" verticalCentered="1"/>
  <pageMargins left="0.75" right="0.75" top="1" bottom="1" header="0.5" footer="0.5"/>
  <pageSetup scale="7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002060"/>
  </sheetPr>
  <dimension ref="A1:AD440"/>
  <sheetViews>
    <sheetView view="pageBreakPreview" zoomScale="64" zoomScaleNormal="100" zoomScaleSheetLayoutView="64" workbookViewId="0">
      <selection activeCell="J28" sqref="J28"/>
    </sheetView>
  </sheetViews>
  <sheetFormatPr defaultRowHeight="12.75"/>
  <cols>
    <col min="1" max="1" width="12.5703125" customWidth="1"/>
    <col min="2" max="2" width="13.7109375" customWidth="1"/>
    <col min="3" max="3" width="6" customWidth="1"/>
    <col min="4" max="4" width="4.42578125" customWidth="1"/>
    <col min="5" max="5" width="3.85546875" customWidth="1"/>
    <col min="6" max="6" width="7.7109375" customWidth="1"/>
    <col min="7" max="7" width="4" customWidth="1"/>
    <col min="8" max="9" width="3.7109375" customWidth="1"/>
    <col min="10" max="10" width="3.85546875" customWidth="1"/>
    <col min="11" max="11" width="6.28515625" style="1397" customWidth="1"/>
    <col min="12" max="12" width="3.85546875" style="1397" customWidth="1"/>
    <col min="13" max="13" width="2.140625" style="1397" bestFit="1" customWidth="1"/>
    <col min="14" max="14" width="6.7109375" style="1397" customWidth="1"/>
    <col min="15" max="15" width="7.42578125" customWidth="1"/>
    <col min="16" max="16" width="7.28515625" customWidth="1"/>
    <col min="17" max="17" width="7.140625" customWidth="1"/>
    <col min="18" max="18" width="7.85546875" customWidth="1"/>
    <col min="19" max="19" width="6.42578125" customWidth="1"/>
    <col min="20" max="20" width="6.85546875" customWidth="1"/>
    <col min="21" max="21" width="6.7109375" customWidth="1"/>
    <col min="22" max="22" width="7.42578125" customWidth="1"/>
    <col min="23" max="23" width="6.28515625" customWidth="1"/>
    <col min="24" max="24" width="6.42578125" customWidth="1"/>
    <col min="25" max="25" width="5.5703125" customWidth="1"/>
    <col min="26" max="27" width="7.28515625" customWidth="1"/>
    <col min="28" max="28" width="8.42578125" customWidth="1"/>
    <col min="29" max="29" width="9.42578125" customWidth="1"/>
    <col min="30" max="30" width="8" customWidth="1"/>
  </cols>
  <sheetData>
    <row r="1" spans="1:30" s="706" customFormat="1">
      <c r="K1" s="1397"/>
      <c r="L1" s="1397"/>
      <c r="M1" s="1397"/>
      <c r="N1" s="1397"/>
    </row>
    <row r="2" spans="1:30" s="706" customFormat="1">
      <c r="K2" s="1397"/>
      <c r="L2" s="1397"/>
      <c r="M2" s="1397"/>
      <c r="N2" s="1397"/>
    </row>
    <row r="3" spans="1:30" s="706" customFormat="1">
      <c r="K3" s="1397"/>
      <c r="L3" s="1397"/>
      <c r="M3" s="1397"/>
      <c r="N3" s="1397"/>
    </row>
    <row r="4" spans="1:30" s="706" customFormat="1">
      <c r="K4" s="1397"/>
      <c r="L4" s="1397"/>
      <c r="M4" s="1397"/>
      <c r="N4" s="1397"/>
    </row>
    <row r="5" spans="1:30" s="706" customFormat="1">
      <c r="K5" s="1397"/>
      <c r="L5" s="1397"/>
      <c r="M5" s="1397"/>
      <c r="N5" s="1397"/>
    </row>
    <row r="6" spans="1:30" ht="18">
      <c r="A6" s="598"/>
      <c r="B6" s="598"/>
      <c r="C6" s="599" t="s">
        <v>1758</v>
      </c>
      <c r="D6" s="599"/>
      <c r="E6" s="599"/>
      <c r="F6" s="599"/>
      <c r="G6" s="599"/>
      <c r="H6" s="599"/>
      <c r="I6" s="599"/>
      <c r="J6" s="599"/>
      <c r="K6" s="599"/>
      <c r="L6" s="599"/>
      <c r="M6" s="599"/>
      <c r="N6" s="599"/>
      <c r="O6" s="599"/>
      <c r="P6" s="600"/>
      <c r="Q6" s="600"/>
      <c r="R6" s="600"/>
      <c r="S6" s="600"/>
      <c r="T6" s="600"/>
      <c r="U6" s="600"/>
      <c r="V6" s="600"/>
      <c r="W6" s="601"/>
      <c r="X6" s="601"/>
      <c r="Y6" s="602"/>
      <c r="Z6" s="602"/>
      <c r="AA6" s="603"/>
      <c r="AB6" s="603"/>
      <c r="AC6" s="603"/>
      <c r="AD6" s="597"/>
    </row>
    <row r="7" spans="1:30" ht="15">
      <c r="A7" s="597"/>
      <c r="B7" s="604"/>
      <c r="C7" s="597"/>
      <c r="D7" s="597"/>
      <c r="E7" s="597"/>
      <c r="F7" s="597"/>
      <c r="G7" s="597"/>
      <c r="H7" s="598"/>
      <c r="I7" s="598"/>
      <c r="J7" s="601"/>
      <c r="K7" s="601"/>
      <c r="L7" s="601"/>
      <c r="M7" s="601"/>
      <c r="N7" s="601"/>
      <c r="O7" s="601"/>
      <c r="P7" s="601"/>
      <c r="Q7" s="601"/>
      <c r="R7" s="601"/>
      <c r="S7" s="601"/>
      <c r="T7" s="601"/>
      <c r="U7" s="601"/>
      <c r="V7" s="601"/>
      <c r="W7" s="605"/>
      <c r="X7" s="601"/>
      <c r="Y7" s="601"/>
      <c r="Z7" s="601"/>
      <c r="AA7" s="603"/>
      <c r="AB7" s="603"/>
      <c r="AC7" s="603"/>
      <c r="AD7" s="606" t="str">
        <f>"As on " &amp;TEXT( EOMONTH(TY,0)," dd-mm-yy")</f>
        <v>As on  30-06-21</v>
      </c>
    </row>
    <row r="8" spans="1:30">
      <c r="A8" s="597"/>
      <c r="B8" s="597"/>
      <c r="C8" s="597"/>
      <c r="D8" s="597"/>
      <c r="E8" s="597"/>
      <c r="F8" s="597"/>
      <c r="G8" s="597"/>
      <c r="H8" s="597"/>
      <c r="I8" s="597"/>
      <c r="J8" s="597"/>
      <c r="K8" s="597"/>
      <c r="L8" s="597"/>
      <c r="M8" s="597"/>
      <c r="N8" s="597"/>
      <c r="O8" s="597"/>
      <c r="P8" s="597"/>
      <c r="Q8" s="597"/>
      <c r="R8" s="597"/>
      <c r="S8" s="597"/>
      <c r="T8" s="597"/>
      <c r="U8" s="597"/>
      <c r="V8" s="597"/>
      <c r="W8" s="597"/>
      <c r="X8" s="601"/>
      <c r="Y8" s="601"/>
      <c r="Z8" s="601"/>
      <c r="AA8" s="603"/>
      <c r="AB8" s="603"/>
      <c r="AC8" s="603"/>
      <c r="AD8" s="597"/>
    </row>
    <row r="9" spans="1:30" ht="14.25">
      <c r="A9" s="597"/>
      <c r="B9" s="607"/>
      <c r="C9" s="597"/>
      <c r="D9" s="597"/>
      <c r="E9" s="597"/>
      <c r="F9" s="597"/>
      <c r="G9" s="597"/>
      <c r="H9" s="598"/>
      <c r="I9" s="598"/>
      <c r="J9" s="601"/>
      <c r="K9" s="601"/>
      <c r="L9" s="601"/>
      <c r="M9" s="601"/>
      <c r="N9" s="601"/>
      <c r="O9" s="601"/>
      <c r="P9" s="601"/>
      <c r="Q9" s="601"/>
      <c r="R9" s="601"/>
      <c r="S9" s="601"/>
      <c r="T9" s="601"/>
      <c r="U9" s="601"/>
      <c r="V9" s="601"/>
      <c r="W9" s="605"/>
      <c r="X9" s="601"/>
      <c r="Y9" s="601"/>
      <c r="Z9" s="601"/>
      <c r="AA9" s="1862" t="s">
        <v>782</v>
      </c>
      <c r="AB9" s="1862"/>
      <c r="AC9" s="1862"/>
      <c r="AD9" s="1862"/>
    </row>
    <row r="10" spans="1:30" ht="15.75" customHeight="1">
      <c r="A10" s="1856" t="s">
        <v>779</v>
      </c>
      <c r="B10" s="1857"/>
      <c r="C10" s="1859" t="s">
        <v>1</v>
      </c>
      <c r="D10" s="1860"/>
      <c r="E10" s="1860"/>
      <c r="F10" s="1860"/>
      <c r="G10" s="1860"/>
      <c r="H10" s="1860"/>
      <c r="I10" s="1860"/>
      <c r="J10" s="1860"/>
      <c r="K10" s="1860"/>
      <c r="L10" s="1860"/>
      <c r="M10" s="1860"/>
      <c r="N10" s="1861"/>
      <c r="O10" s="1835" t="s">
        <v>451</v>
      </c>
      <c r="P10" s="1835"/>
      <c r="Q10" s="1835"/>
      <c r="R10" s="1835"/>
      <c r="S10" s="1835" t="s">
        <v>452</v>
      </c>
      <c r="T10" s="1835"/>
      <c r="U10" s="1835"/>
      <c r="V10" s="1835"/>
      <c r="W10" s="1835" t="s">
        <v>625</v>
      </c>
      <c r="X10" s="1835"/>
      <c r="Y10" s="1835"/>
      <c r="Z10" s="1835"/>
      <c r="AA10" s="1835" t="s">
        <v>403</v>
      </c>
      <c r="AB10" s="1835"/>
      <c r="AC10" s="1835"/>
      <c r="AD10" s="1835"/>
    </row>
    <row r="11" spans="1:30" ht="15" customHeight="1">
      <c r="A11" s="1857"/>
      <c r="B11" s="1857"/>
      <c r="C11" s="1858" t="s">
        <v>780</v>
      </c>
      <c r="D11" s="1858"/>
      <c r="E11" s="1858"/>
      <c r="F11" s="1858"/>
      <c r="G11" s="1858" t="s">
        <v>781</v>
      </c>
      <c r="H11" s="1858"/>
      <c r="I11" s="1858"/>
      <c r="J11" s="1858"/>
      <c r="K11" s="1858" t="s">
        <v>2005</v>
      </c>
      <c r="L11" s="1858"/>
      <c r="M11" s="1858"/>
      <c r="N11" s="1858"/>
      <c r="O11" s="1835"/>
      <c r="P11" s="1835"/>
      <c r="Q11" s="1835"/>
      <c r="R11" s="1835"/>
      <c r="S11" s="1835"/>
      <c r="T11" s="1835"/>
      <c r="U11" s="1835"/>
      <c r="V11" s="1835"/>
      <c r="W11" s="1835"/>
      <c r="X11" s="1835"/>
      <c r="Y11" s="1835"/>
      <c r="Z11" s="1835"/>
      <c r="AA11" s="1835"/>
      <c r="AB11" s="1835"/>
      <c r="AC11" s="1835"/>
      <c r="AD11" s="1835"/>
    </row>
    <row r="12" spans="1:30" ht="100.5">
      <c r="A12" s="1857"/>
      <c r="B12" s="1857"/>
      <c r="C12" s="914" t="s">
        <v>448</v>
      </c>
      <c r="D12" s="914" t="s">
        <v>449</v>
      </c>
      <c r="E12" s="914" t="s">
        <v>450</v>
      </c>
      <c r="F12" s="915" t="s">
        <v>406</v>
      </c>
      <c r="G12" s="914" t="s">
        <v>448</v>
      </c>
      <c r="H12" s="914" t="s">
        <v>449</v>
      </c>
      <c r="I12" s="914" t="s">
        <v>450</v>
      </c>
      <c r="J12" s="915" t="s">
        <v>406</v>
      </c>
      <c r="K12" s="914" t="s">
        <v>448</v>
      </c>
      <c r="L12" s="914" t="s">
        <v>449</v>
      </c>
      <c r="M12" s="914" t="s">
        <v>450</v>
      </c>
      <c r="N12" s="915" t="s">
        <v>406</v>
      </c>
      <c r="O12" s="914" t="s">
        <v>448</v>
      </c>
      <c r="P12" s="914" t="s">
        <v>449</v>
      </c>
      <c r="Q12" s="914" t="s">
        <v>450</v>
      </c>
      <c r="R12" s="915" t="s">
        <v>406</v>
      </c>
      <c r="S12" s="914" t="s">
        <v>448</v>
      </c>
      <c r="T12" s="914" t="s">
        <v>449</v>
      </c>
      <c r="U12" s="914" t="s">
        <v>450</v>
      </c>
      <c r="V12" s="1033" t="s">
        <v>406</v>
      </c>
      <c r="W12" s="914" t="s">
        <v>448</v>
      </c>
      <c r="X12" s="914" t="s">
        <v>449</v>
      </c>
      <c r="Y12" s="914" t="s">
        <v>450</v>
      </c>
      <c r="Z12" s="1033" t="s">
        <v>406</v>
      </c>
      <c r="AA12" s="915" t="s">
        <v>448</v>
      </c>
      <c r="AB12" s="915" t="s">
        <v>449</v>
      </c>
      <c r="AC12" s="915" t="s">
        <v>450</v>
      </c>
      <c r="AD12" s="1034" t="s">
        <v>403</v>
      </c>
    </row>
    <row r="13" spans="1:30">
      <c r="A13" s="1855" t="s">
        <v>1759</v>
      </c>
      <c r="B13" s="1855"/>
      <c r="C13" s="981">
        <f>Data!C431</f>
        <v>0</v>
      </c>
      <c r="D13" s="981">
        <f>Data!D431</f>
        <v>0</v>
      </c>
      <c r="E13" s="981">
        <f>Data!E431</f>
        <v>0</v>
      </c>
      <c r="F13" s="1035">
        <f>SUM(C13:E13)</f>
        <v>0</v>
      </c>
      <c r="G13" s="981">
        <f>Data!G431</f>
        <v>0</v>
      </c>
      <c r="H13" s="981">
        <f>Data!H431</f>
        <v>0</v>
      </c>
      <c r="I13" s="981">
        <f>Data!I431</f>
        <v>0</v>
      </c>
      <c r="J13" s="1035">
        <f>SUM(G13:I13)</f>
        <v>0</v>
      </c>
      <c r="K13" s="981">
        <f>Data!K431</f>
        <v>0</v>
      </c>
      <c r="L13" s="981">
        <f>Data!L431</f>
        <v>0</v>
      </c>
      <c r="M13" s="981">
        <f>Data!M431</f>
        <v>0</v>
      </c>
      <c r="N13" s="1035">
        <f>SUM(K13:M13)</f>
        <v>0</v>
      </c>
      <c r="O13" s="983">
        <f>Data!O431</f>
        <v>26000</v>
      </c>
      <c r="P13" s="983">
        <f>Data!P431</f>
        <v>6000</v>
      </c>
      <c r="Q13" s="983">
        <f>Data!Q431</f>
        <v>3000</v>
      </c>
      <c r="R13" s="1036">
        <f>SUM(O13:Q13)</f>
        <v>35000</v>
      </c>
      <c r="S13" s="983">
        <f>Data!S431</f>
        <v>7345</v>
      </c>
      <c r="T13" s="983">
        <f>Data!T431</f>
        <v>15200</v>
      </c>
      <c r="U13" s="983">
        <f>Data!U431</f>
        <v>5000</v>
      </c>
      <c r="V13" s="1035">
        <f>SUM(S13:U13)</f>
        <v>27545</v>
      </c>
      <c r="W13" s="983">
        <f>Data!W431</f>
        <v>730</v>
      </c>
      <c r="X13" s="983">
        <f>Data!X431</f>
        <v>18270</v>
      </c>
      <c r="Y13" s="983">
        <f>Data!Y431</f>
        <v>0</v>
      </c>
      <c r="Z13" s="1035">
        <f>SUM(W13:Y13)</f>
        <v>19000</v>
      </c>
      <c r="AA13" s="1035">
        <f t="shared" ref="AA13:AA17" si="0">SUM(C13,K13,G13,O13,S13,W13)</f>
        <v>34075</v>
      </c>
      <c r="AB13" s="1035">
        <f t="shared" ref="AB13:AB14" si="1">SUM(D13,L13,H13,P13,T13,X13)</f>
        <v>39470</v>
      </c>
      <c r="AC13" s="1035">
        <f t="shared" ref="AC13:AC17" si="2">SUM(E13,M13,I13,Q13,U13,Y13)</f>
        <v>8000</v>
      </c>
      <c r="AD13" s="1035">
        <f>AA13+AB13+AC13</f>
        <v>81545</v>
      </c>
    </row>
    <row r="14" spans="1:30" ht="15">
      <c r="A14" s="1037">
        <f>TY</f>
        <v>44348</v>
      </c>
      <c r="B14" s="1038" t="s">
        <v>446</v>
      </c>
      <c r="C14" s="981">
        <f>Data!C432</f>
        <v>0</v>
      </c>
      <c r="D14" s="981">
        <f>Data!D432</f>
        <v>0</v>
      </c>
      <c r="E14" s="981">
        <f>Data!E432</f>
        <v>0</v>
      </c>
      <c r="F14" s="1035">
        <f>SUM(C14:E14)</f>
        <v>0</v>
      </c>
      <c r="G14" s="981">
        <f>Data!G432</f>
        <v>0</v>
      </c>
      <c r="H14" s="981">
        <f>Data!H432</f>
        <v>0</v>
      </c>
      <c r="I14" s="981">
        <f>Data!I432</f>
        <v>0</v>
      </c>
      <c r="J14" s="1035">
        <f>SUM(G14:I14)</f>
        <v>0</v>
      </c>
      <c r="K14" s="981">
        <f>Data!K432</f>
        <v>0</v>
      </c>
      <c r="L14" s="981">
        <f>Data!L432</f>
        <v>0</v>
      </c>
      <c r="M14" s="981">
        <f>Data!M432</f>
        <v>0</v>
      </c>
      <c r="N14" s="1035">
        <f>SUM(K14:M14)</f>
        <v>0</v>
      </c>
      <c r="O14" s="983">
        <f>Data!O432</f>
        <v>0</v>
      </c>
      <c r="P14" s="983">
        <f>Data!P432</f>
        <v>0</v>
      </c>
      <c r="Q14" s="983">
        <f>Data!Q432</f>
        <v>0</v>
      </c>
      <c r="R14" s="1036">
        <f>SUM(O14:Q14)</f>
        <v>0</v>
      </c>
      <c r="S14" s="983">
        <f>Data!S432</f>
        <v>2030</v>
      </c>
      <c r="T14" s="983">
        <f>Data!T432</f>
        <v>3715</v>
      </c>
      <c r="U14" s="983">
        <f>Data!U432</f>
        <v>0</v>
      </c>
      <c r="V14" s="1035">
        <f>SUM(S14:U14)</f>
        <v>5745</v>
      </c>
      <c r="W14" s="983">
        <f>Data!W432</f>
        <v>0</v>
      </c>
      <c r="X14" s="983">
        <f>Data!X432</f>
        <v>4220</v>
      </c>
      <c r="Y14" s="983">
        <f>Data!Y432</f>
        <v>0</v>
      </c>
      <c r="Z14" s="1035">
        <f>SUM(W14:Y14)</f>
        <v>4220</v>
      </c>
      <c r="AA14" s="1035">
        <f t="shared" si="0"/>
        <v>2030</v>
      </c>
      <c r="AB14" s="1035">
        <f t="shared" si="1"/>
        <v>7935</v>
      </c>
      <c r="AC14" s="1035">
        <f t="shared" si="2"/>
        <v>0</v>
      </c>
      <c r="AD14" s="1035">
        <f>AA14+AB14+AC14</f>
        <v>9965</v>
      </c>
    </row>
    <row r="15" spans="1:30" ht="15">
      <c r="A15" s="1039"/>
      <c r="B15" s="1038" t="s">
        <v>444</v>
      </c>
      <c r="C15" s="981">
        <f>Data!C433</f>
        <v>0</v>
      </c>
      <c r="D15" s="981">
        <f>Data!D433</f>
        <v>0</v>
      </c>
      <c r="E15" s="981">
        <f>Data!E433</f>
        <v>0</v>
      </c>
      <c r="F15" s="1035">
        <f>SUM(C15:E15)</f>
        <v>0</v>
      </c>
      <c r="G15" s="981">
        <f>Data!G433</f>
        <v>0</v>
      </c>
      <c r="H15" s="981">
        <f>Data!H433</f>
        <v>0</v>
      </c>
      <c r="I15" s="981">
        <f>Data!I433</f>
        <v>0</v>
      </c>
      <c r="J15" s="1035">
        <f>SUM(G15:I15)</f>
        <v>0</v>
      </c>
      <c r="K15" s="981">
        <f>Data!K433</f>
        <v>1000</v>
      </c>
      <c r="L15" s="981">
        <f>Data!L433</f>
        <v>0</v>
      </c>
      <c r="M15" s="981">
        <f>Data!M433</f>
        <v>0</v>
      </c>
      <c r="N15" s="1035">
        <f>SUM(K15:M15)</f>
        <v>1000</v>
      </c>
      <c r="O15" s="983">
        <f>Data!O433</f>
        <v>0</v>
      </c>
      <c r="P15" s="983">
        <f>Data!P433</f>
        <v>0</v>
      </c>
      <c r="Q15" s="983">
        <f>Data!Q433</f>
        <v>0</v>
      </c>
      <c r="R15" s="1036">
        <f>SUM(O15:Q15)</f>
        <v>0</v>
      </c>
      <c r="S15" s="983">
        <f>Data!S433</f>
        <v>0</v>
      </c>
      <c r="T15" s="983">
        <f>Data!T433</f>
        <v>630</v>
      </c>
      <c r="U15" s="983">
        <f>Data!U433</f>
        <v>0</v>
      </c>
      <c r="V15" s="1035">
        <f>SUM(S15:U15)</f>
        <v>630</v>
      </c>
      <c r="W15" s="983">
        <f>Data!W433</f>
        <v>0</v>
      </c>
      <c r="X15" s="983">
        <f>Data!X433</f>
        <v>1592</v>
      </c>
      <c r="Y15" s="983">
        <f>Data!Y433</f>
        <v>0</v>
      </c>
      <c r="Z15" s="1035">
        <f>SUM(W15:Y15)</f>
        <v>1592</v>
      </c>
      <c r="AA15" s="1035">
        <f t="shared" si="0"/>
        <v>1000</v>
      </c>
      <c r="AB15" s="1035">
        <f t="shared" ref="AB15" si="3">SUM(D15,L15,H15,P15,T15,X15)</f>
        <v>2222</v>
      </c>
      <c r="AC15" s="1035">
        <f t="shared" si="2"/>
        <v>0</v>
      </c>
      <c r="AD15" s="1035">
        <f>AA15+AB15+AC15</f>
        <v>3222</v>
      </c>
    </row>
    <row r="16" spans="1:30" ht="14.25">
      <c r="A16" s="1040" t="str">
        <f>CONCATENATE("Upto ",TEXT($A$14,"mmm-yy"))</f>
        <v>Upto Jun-21</v>
      </c>
      <c r="B16" s="1041" t="s">
        <v>446</v>
      </c>
      <c r="C16" s="981">
        <f>Data!C434</f>
        <v>0</v>
      </c>
      <c r="D16" s="981">
        <f>Data!D434</f>
        <v>0</v>
      </c>
      <c r="E16" s="981">
        <f>Data!E434</f>
        <v>0</v>
      </c>
      <c r="F16" s="1035">
        <f>SUM(C16:E16)</f>
        <v>0</v>
      </c>
      <c r="G16" s="981">
        <f>Data!G434</f>
        <v>0</v>
      </c>
      <c r="H16" s="981">
        <f>Data!H434</f>
        <v>0</v>
      </c>
      <c r="I16" s="981">
        <f>Data!I434</f>
        <v>0</v>
      </c>
      <c r="J16" s="1035">
        <f>SUM(G16:I16)</f>
        <v>0</v>
      </c>
      <c r="K16" s="981">
        <f>Data!K434</f>
        <v>0</v>
      </c>
      <c r="L16" s="981">
        <f>Data!L434</f>
        <v>0</v>
      </c>
      <c r="M16" s="981">
        <f>Data!M434</f>
        <v>0</v>
      </c>
      <c r="N16" s="1035">
        <f>SUM(K16:M16)</f>
        <v>0</v>
      </c>
      <c r="O16" s="983">
        <f>Data!O434</f>
        <v>1500</v>
      </c>
      <c r="P16" s="983">
        <f>Data!P434</f>
        <v>0</v>
      </c>
      <c r="Q16" s="983">
        <f>Data!Q434</f>
        <v>0</v>
      </c>
      <c r="R16" s="1036">
        <f>SUM(O16:Q16)</f>
        <v>1500</v>
      </c>
      <c r="S16" s="983">
        <f>Data!S434</f>
        <v>2030</v>
      </c>
      <c r="T16" s="983">
        <f>Data!T434</f>
        <v>7715</v>
      </c>
      <c r="U16" s="983">
        <f>Data!U434</f>
        <v>1000</v>
      </c>
      <c r="V16" s="1035">
        <f>SUM(S16:U16)</f>
        <v>10745</v>
      </c>
      <c r="W16" s="983">
        <f>Data!W434</f>
        <v>0</v>
      </c>
      <c r="X16" s="983">
        <f>Data!X434</f>
        <v>7540</v>
      </c>
      <c r="Y16" s="983">
        <f>Data!Y434</f>
        <v>0</v>
      </c>
      <c r="Z16" s="1035">
        <f>SUM(W16:Y16)</f>
        <v>7540</v>
      </c>
      <c r="AA16" s="1035">
        <f t="shared" si="0"/>
        <v>3530</v>
      </c>
      <c r="AB16" s="1035">
        <f t="shared" ref="AB16:AB17" si="4">SUM(D16,L16,H16,P16,T16,X16)</f>
        <v>15255</v>
      </c>
      <c r="AC16" s="1035">
        <f t="shared" si="2"/>
        <v>1000</v>
      </c>
      <c r="AD16" s="1035">
        <f>AA16+AB16+AC16</f>
        <v>19785</v>
      </c>
    </row>
    <row r="17" spans="1:30" ht="15">
      <c r="A17" s="1042"/>
      <c r="B17" s="1041" t="s">
        <v>444</v>
      </c>
      <c r="C17" s="981">
        <f>Data!C435</f>
        <v>0</v>
      </c>
      <c r="D17" s="981">
        <f>Data!D435</f>
        <v>0</v>
      </c>
      <c r="E17" s="981">
        <f>Data!E435</f>
        <v>0</v>
      </c>
      <c r="F17" s="1035">
        <f>SUM(C17:E17)</f>
        <v>0</v>
      </c>
      <c r="G17" s="981">
        <f>Data!G435</f>
        <v>0</v>
      </c>
      <c r="H17" s="981">
        <f>Data!H435</f>
        <v>0</v>
      </c>
      <c r="I17" s="981">
        <f>Data!I435</f>
        <v>0</v>
      </c>
      <c r="J17" s="1035">
        <f>SUM(G17:I17)</f>
        <v>0</v>
      </c>
      <c r="K17" s="981">
        <f>Data!K435</f>
        <v>1000</v>
      </c>
      <c r="L17" s="981">
        <f>Data!L435</f>
        <v>0</v>
      </c>
      <c r="M17" s="981">
        <f>Data!M435</f>
        <v>0</v>
      </c>
      <c r="N17" s="1035">
        <f>SUM(K17:M17)</f>
        <v>1000</v>
      </c>
      <c r="O17" s="983">
        <f>Data!O435</f>
        <v>3000</v>
      </c>
      <c r="P17" s="983">
        <f>Data!P435</f>
        <v>0</v>
      </c>
      <c r="Q17" s="983">
        <f>Data!Q435</f>
        <v>0</v>
      </c>
      <c r="R17" s="1036">
        <f>SUM(O17:Q17)</f>
        <v>3000</v>
      </c>
      <c r="S17" s="983">
        <f>Data!S435</f>
        <v>3530</v>
      </c>
      <c r="T17" s="983">
        <f>Data!T435</f>
        <v>1630</v>
      </c>
      <c r="U17" s="983">
        <f>Data!U435</f>
        <v>0</v>
      </c>
      <c r="V17" s="1035">
        <f>SUM(S17:U17)</f>
        <v>5160</v>
      </c>
      <c r="W17" s="983">
        <f>Data!W435</f>
        <v>0</v>
      </c>
      <c r="X17" s="983">
        <f>Data!X435</f>
        <v>2232</v>
      </c>
      <c r="Y17" s="983">
        <f>Data!Y435</f>
        <v>0</v>
      </c>
      <c r="Z17" s="1035">
        <f>SUM(W17:Y17)</f>
        <v>2232</v>
      </c>
      <c r="AA17" s="1035">
        <f t="shared" si="0"/>
        <v>7530</v>
      </c>
      <c r="AB17" s="1035">
        <f t="shared" si="4"/>
        <v>3862</v>
      </c>
      <c r="AC17" s="1035">
        <f t="shared" si="2"/>
        <v>0</v>
      </c>
      <c r="AD17" s="1035">
        <f>AA17+AB17+AC17</f>
        <v>11392</v>
      </c>
    </row>
    <row r="25" spans="1:30">
      <c r="AD25" s="661" t="s">
        <v>742</v>
      </c>
    </row>
    <row r="56" ht="21.75" customHeight="1"/>
    <row r="440" ht="23.25" customHeight="1"/>
  </sheetData>
  <mergeCells count="11">
    <mergeCell ref="AA9:AD9"/>
    <mergeCell ref="W10:Z11"/>
    <mergeCell ref="AA10:AD11"/>
    <mergeCell ref="C11:F11"/>
    <mergeCell ref="G11:J11"/>
    <mergeCell ref="A13:B13"/>
    <mergeCell ref="A10:B12"/>
    <mergeCell ref="O10:R11"/>
    <mergeCell ref="S10:V11"/>
    <mergeCell ref="K11:N11"/>
    <mergeCell ref="C10:N10"/>
  </mergeCells>
  <printOptions horizontalCentered="1" verticalCentered="1"/>
  <pageMargins left="0.75" right="0.75" top="1" bottom="1" header="0.5" footer="0.5"/>
  <pageSetup scale="4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002060"/>
  </sheetPr>
  <dimension ref="B1:G422"/>
  <sheetViews>
    <sheetView view="pageBreakPreview" zoomScale="70" zoomScaleNormal="100" zoomScaleSheetLayoutView="70" workbookViewId="0">
      <selection activeCell="J28" sqref="J28"/>
    </sheetView>
  </sheetViews>
  <sheetFormatPr defaultColWidth="9.140625" defaultRowHeight="12.75"/>
  <cols>
    <col min="1" max="1" width="9.140625" style="1328"/>
    <col min="2" max="2" width="7.7109375" style="1328" customWidth="1"/>
    <col min="3" max="3" width="43.28515625" style="1328" customWidth="1"/>
    <col min="4" max="4" width="13.5703125" style="1328" customWidth="1"/>
    <col min="5" max="5" width="14.28515625" style="1328" customWidth="1"/>
    <col min="6" max="6" width="21.140625" style="1328" customWidth="1"/>
    <col min="7" max="7" width="9.140625" style="1328" hidden="1" customWidth="1"/>
    <col min="8" max="16384" width="9.140625" style="1328"/>
  </cols>
  <sheetData>
    <row r="1" spans="2:7" ht="36" customHeight="1">
      <c r="B1" s="1850" t="s">
        <v>1942</v>
      </c>
      <c r="C1" s="1850"/>
      <c r="D1" s="1850"/>
      <c r="E1" s="1850"/>
      <c r="F1" s="1850"/>
      <c r="G1" s="1335"/>
    </row>
    <row r="2" spans="2:7" ht="24" customHeight="1">
      <c r="B2" s="1343"/>
      <c r="C2" s="1343"/>
      <c r="D2" s="1343"/>
      <c r="E2" s="1849" t="s">
        <v>1937</v>
      </c>
      <c r="F2" s="1849"/>
      <c r="G2" s="1333"/>
    </row>
    <row r="3" spans="2:7" ht="38.25">
      <c r="B3" s="1349" t="s">
        <v>1785</v>
      </c>
      <c r="C3" s="1349" t="s">
        <v>1786</v>
      </c>
      <c r="D3" s="1349" t="s">
        <v>1787</v>
      </c>
      <c r="E3" s="1349" t="s">
        <v>1766</v>
      </c>
      <c r="F3" s="1349" t="s">
        <v>1788</v>
      </c>
      <c r="G3" s="906"/>
    </row>
    <row r="4" spans="2:7" ht="12" customHeight="1">
      <c r="B4" s="1349" t="s">
        <v>1768</v>
      </c>
      <c r="C4" s="1349" t="s">
        <v>1789</v>
      </c>
      <c r="D4" s="1349" t="s">
        <v>1770</v>
      </c>
      <c r="E4" s="1349" t="s">
        <v>1771</v>
      </c>
      <c r="F4" s="1349" t="s">
        <v>1772</v>
      </c>
      <c r="G4" s="906"/>
    </row>
    <row r="5" spans="2:7" ht="12.75" customHeight="1">
      <c r="B5" s="1864" t="s">
        <v>8</v>
      </c>
      <c r="C5" s="1864"/>
      <c r="D5" s="1864"/>
      <c r="E5" s="1864"/>
      <c r="F5" s="1864"/>
      <c r="G5" s="906"/>
    </row>
    <row r="6" spans="2:7" ht="10.5" customHeight="1">
      <c r="B6" s="1350">
        <v>1</v>
      </c>
      <c r="C6" s="1351" t="s">
        <v>1943</v>
      </c>
      <c r="D6" s="1352" t="s">
        <v>1944</v>
      </c>
      <c r="E6" s="1352" t="s">
        <v>1777</v>
      </c>
      <c r="F6" s="1350">
        <v>1000</v>
      </c>
      <c r="G6" s="907"/>
    </row>
    <row r="7" spans="2:7" ht="12.75" customHeight="1">
      <c r="B7" s="1349"/>
      <c r="C7" s="1454" t="s">
        <v>1778</v>
      </c>
      <c r="D7" s="1863"/>
      <c r="E7" s="1863"/>
      <c r="F7" s="1353">
        <v>1000</v>
      </c>
      <c r="G7" s="908"/>
    </row>
    <row r="8" spans="2:7" ht="12" customHeight="1">
      <c r="B8" s="1864" t="s">
        <v>474</v>
      </c>
      <c r="C8" s="1864"/>
      <c r="D8" s="1864"/>
      <c r="E8" s="1864"/>
      <c r="F8" s="1864"/>
      <c r="G8" s="908"/>
    </row>
    <row r="9" spans="2:7" ht="14.25" customHeight="1">
      <c r="B9" s="1350">
        <v>2</v>
      </c>
      <c r="C9" s="1351" t="s">
        <v>1945</v>
      </c>
      <c r="D9" s="1352" t="s">
        <v>1790</v>
      </c>
      <c r="E9" s="1352" t="s">
        <v>1941</v>
      </c>
      <c r="F9" s="1350">
        <v>315</v>
      </c>
      <c r="G9" s="908"/>
    </row>
    <row r="10" spans="2:7" ht="18" customHeight="1">
      <c r="B10" s="1350">
        <v>3</v>
      </c>
      <c r="C10" s="1351" t="s">
        <v>1946</v>
      </c>
      <c r="D10" s="1352" t="s">
        <v>1790</v>
      </c>
      <c r="E10" s="1352" t="s">
        <v>1938</v>
      </c>
      <c r="F10" s="1350">
        <v>315</v>
      </c>
      <c r="G10" s="908"/>
    </row>
    <row r="11" spans="2:7" ht="12.75" customHeight="1">
      <c r="B11" s="1350">
        <v>4</v>
      </c>
      <c r="C11" s="1351" t="s">
        <v>1947</v>
      </c>
      <c r="D11" s="1352" t="s">
        <v>1948</v>
      </c>
      <c r="E11" s="1352" t="s">
        <v>1938</v>
      </c>
      <c r="F11" s="1350">
        <v>16</v>
      </c>
      <c r="G11" s="907"/>
    </row>
    <row r="12" spans="2:7">
      <c r="B12" s="1350">
        <v>5</v>
      </c>
      <c r="C12" s="1351" t="s">
        <v>1949</v>
      </c>
      <c r="D12" s="1352" t="s">
        <v>1948</v>
      </c>
      <c r="E12" s="1352" t="s">
        <v>1938</v>
      </c>
      <c r="F12" s="1350">
        <v>120</v>
      </c>
      <c r="G12" s="907"/>
    </row>
    <row r="13" spans="2:7">
      <c r="B13" s="1350">
        <v>6</v>
      </c>
      <c r="C13" s="1351" t="s">
        <v>1950</v>
      </c>
      <c r="D13" s="1352" t="s">
        <v>1791</v>
      </c>
      <c r="E13" s="1352" t="s">
        <v>1941</v>
      </c>
      <c r="F13" s="1350">
        <v>160</v>
      </c>
      <c r="G13" s="908"/>
    </row>
    <row r="14" spans="2:7">
      <c r="B14" s="1350">
        <v>7</v>
      </c>
      <c r="C14" s="1351" t="s">
        <v>1951</v>
      </c>
      <c r="D14" s="1352" t="s">
        <v>1791</v>
      </c>
      <c r="E14" s="1352" t="s">
        <v>1782</v>
      </c>
      <c r="F14" s="1350">
        <v>160</v>
      </c>
      <c r="G14" s="908"/>
    </row>
    <row r="15" spans="2:7" ht="25.5">
      <c r="B15" s="1350">
        <v>8</v>
      </c>
      <c r="C15" s="1351" t="s">
        <v>1952</v>
      </c>
      <c r="D15" s="1352" t="s">
        <v>1948</v>
      </c>
      <c r="E15" s="1352" t="s">
        <v>1938</v>
      </c>
      <c r="F15" s="1350">
        <v>158</v>
      </c>
      <c r="G15" s="908"/>
    </row>
    <row r="16" spans="2:7">
      <c r="B16" s="1350">
        <v>9</v>
      </c>
      <c r="C16" s="1351" t="s">
        <v>1953</v>
      </c>
      <c r="D16" s="1352" t="s">
        <v>1792</v>
      </c>
      <c r="E16" s="1352" t="s">
        <v>1954</v>
      </c>
      <c r="F16" s="1350">
        <v>25</v>
      </c>
      <c r="G16" s="908"/>
    </row>
    <row r="17" spans="2:7">
      <c r="B17" s="1350">
        <v>10</v>
      </c>
      <c r="C17" s="1351" t="s">
        <v>1955</v>
      </c>
      <c r="D17" s="1352" t="s">
        <v>1792</v>
      </c>
      <c r="E17" s="1352" t="s">
        <v>1938</v>
      </c>
      <c r="F17" s="1350">
        <v>32</v>
      </c>
      <c r="G17" s="908"/>
    </row>
    <row r="18" spans="2:7">
      <c r="B18" s="1350">
        <v>11</v>
      </c>
      <c r="C18" s="1351" t="s">
        <v>1956</v>
      </c>
      <c r="D18" s="1352" t="s">
        <v>1792</v>
      </c>
      <c r="E18" s="1352" t="s">
        <v>1938</v>
      </c>
      <c r="F18" s="1350">
        <v>150</v>
      </c>
      <c r="G18" s="908"/>
    </row>
    <row r="19" spans="2:7">
      <c r="B19" s="1350">
        <v>12</v>
      </c>
      <c r="C19" s="1351" t="s">
        <v>1957</v>
      </c>
      <c r="D19" s="1352" t="s">
        <v>1958</v>
      </c>
      <c r="E19" s="1352" t="s">
        <v>1959</v>
      </c>
      <c r="F19" s="1350">
        <v>100</v>
      </c>
      <c r="G19" s="908"/>
    </row>
    <row r="20" spans="2:7">
      <c r="B20" s="1350">
        <v>13</v>
      </c>
      <c r="C20" s="1351" t="s">
        <v>1960</v>
      </c>
      <c r="D20" s="1352" t="s">
        <v>1791</v>
      </c>
      <c r="E20" s="1352" t="s">
        <v>1938</v>
      </c>
      <c r="F20" s="1350">
        <v>320</v>
      </c>
      <c r="G20" s="908"/>
    </row>
    <row r="21" spans="2:7" ht="25.5">
      <c r="B21" s="1350">
        <v>14</v>
      </c>
      <c r="C21" s="1351" t="s">
        <v>1961</v>
      </c>
      <c r="D21" s="1352" t="s">
        <v>1948</v>
      </c>
      <c r="E21" s="1352" t="s">
        <v>1938</v>
      </c>
      <c r="F21" s="1350">
        <v>95</v>
      </c>
      <c r="G21" s="908"/>
    </row>
    <row r="22" spans="2:7" ht="25.5">
      <c r="B22" s="1350">
        <v>15</v>
      </c>
      <c r="C22" s="1351" t="s">
        <v>1962</v>
      </c>
      <c r="D22" s="1352" t="s">
        <v>1948</v>
      </c>
      <c r="E22" s="1352" t="s">
        <v>1938</v>
      </c>
      <c r="F22" s="1350">
        <v>256</v>
      </c>
      <c r="G22" s="908"/>
    </row>
    <row r="23" spans="2:7">
      <c r="B23" s="1349"/>
      <c r="C23" s="1454" t="s">
        <v>1784</v>
      </c>
      <c r="D23" s="1863"/>
      <c r="E23" s="1863"/>
      <c r="F23" s="1353">
        <v>2222</v>
      </c>
      <c r="G23" s="908"/>
    </row>
    <row r="24" spans="2:7">
      <c r="B24" s="1349"/>
      <c r="C24" s="1354" t="s">
        <v>403</v>
      </c>
      <c r="D24" s="1863"/>
      <c r="E24" s="1863"/>
      <c r="F24" s="1353">
        <v>3222</v>
      </c>
      <c r="G24" s="908"/>
    </row>
    <row r="25" spans="2:7">
      <c r="B25" s="7"/>
      <c r="C25" s="1336"/>
      <c r="D25" s="1336"/>
      <c r="E25" s="1336"/>
      <c r="F25" s="1336"/>
      <c r="G25" s="908"/>
    </row>
    <row r="26" spans="2:7">
      <c r="B26" s="7"/>
      <c r="C26" s="1336"/>
      <c r="D26" s="1336"/>
      <c r="E26" s="1336"/>
      <c r="F26" s="1336"/>
      <c r="G26" s="906"/>
    </row>
    <row r="27" spans="2:7">
      <c r="B27" s="7"/>
      <c r="C27" s="1336"/>
      <c r="D27" s="1336"/>
      <c r="E27" s="1336"/>
      <c r="F27" s="1336"/>
      <c r="G27" s="906"/>
    </row>
    <row r="28" spans="2:7">
      <c r="B28" s="7"/>
      <c r="C28" s="1336"/>
      <c r="D28" s="1336"/>
      <c r="E28" s="1336"/>
      <c r="F28" s="1336"/>
      <c r="G28" s="909"/>
    </row>
    <row r="29" spans="2:7">
      <c r="B29" s="7"/>
      <c r="C29" s="1336"/>
      <c r="D29" s="1336"/>
      <c r="E29" s="1336"/>
      <c r="F29" s="1336"/>
      <c r="G29" s="909"/>
    </row>
    <row r="30" spans="2:7">
      <c r="B30" s="7"/>
      <c r="C30" s="1336"/>
      <c r="D30" s="1336"/>
      <c r="E30" s="1336"/>
      <c r="F30" s="1336"/>
      <c r="G30" s="906"/>
    </row>
    <row r="31" spans="2:7" ht="13.5" thickBot="1">
      <c r="B31" s="7"/>
      <c r="C31" s="1336"/>
      <c r="D31" s="1336"/>
      <c r="E31" s="1336"/>
      <c r="F31" s="1336"/>
      <c r="G31" s="910"/>
    </row>
    <row r="32" spans="2:7" ht="18">
      <c r="B32" s="1332"/>
      <c r="G32" s="1329"/>
    </row>
    <row r="33" spans="2:7" ht="14.25">
      <c r="B33" s="1331"/>
      <c r="G33" s="1329"/>
    </row>
    <row r="34" spans="2:7" ht="14.25">
      <c r="B34" s="1331"/>
      <c r="C34" s="1330"/>
      <c r="G34" s="1329"/>
    </row>
    <row r="35" spans="2:7">
      <c r="G35" s="1329"/>
    </row>
    <row r="36" spans="2:7">
      <c r="B36" s="1330"/>
      <c r="G36" s="1329"/>
    </row>
    <row r="37" spans="2:7">
      <c r="B37" s="1"/>
      <c r="C37" s="1"/>
      <c r="D37" s="1"/>
      <c r="E37" s="1"/>
      <c r="F37" s="1"/>
      <c r="G37" s="1329"/>
    </row>
    <row r="38" spans="2:7">
      <c r="B38" s="1"/>
      <c r="C38" s="1"/>
      <c r="D38" s="1"/>
      <c r="E38" s="1"/>
      <c r="F38" s="1"/>
      <c r="G38" s="1329"/>
    </row>
    <row r="422" ht="23.25" customHeight="1"/>
  </sheetData>
  <mergeCells count="7">
    <mergeCell ref="D24:E24"/>
    <mergeCell ref="B1:F1"/>
    <mergeCell ref="E2:F2"/>
    <mergeCell ref="B5:F5"/>
    <mergeCell ref="D7:E7"/>
    <mergeCell ref="B8:F8"/>
    <mergeCell ref="D23:E23"/>
  </mergeCells>
  <printOptions horizontalCentered="1" verticalCentered="1"/>
  <pageMargins left="0.75" right="0.75" top="1" bottom="1" header="0.5" footer="0.5"/>
  <pageSetup scale="7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002060"/>
  </sheetPr>
  <dimension ref="A3:J435"/>
  <sheetViews>
    <sheetView view="pageBreakPreview" zoomScale="64" zoomScaleNormal="100" zoomScaleSheetLayoutView="64" workbookViewId="0">
      <selection activeCell="J28" sqref="J28"/>
    </sheetView>
  </sheetViews>
  <sheetFormatPr defaultRowHeight="12.75"/>
  <cols>
    <col min="1" max="1" width="7.7109375" customWidth="1"/>
    <col min="2" max="2" width="5.28515625" customWidth="1"/>
    <col min="3" max="3" width="76.42578125" customWidth="1"/>
    <col min="4" max="4" width="13.7109375" customWidth="1"/>
  </cols>
  <sheetData>
    <row r="3" spans="2:4" ht="20.25" customHeight="1">
      <c r="B3" s="1755" t="s">
        <v>482</v>
      </c>
      <c r="C3" s="1755"/>
    </row>
    <row r="4" spans="2:4" ht="20.25" customHeight="1">
      <c r="B4" s="100"/>
      <c r="C4" s="100"/>
    </row>
    <row r="5" spans="2:4" ht="12.75" customHeight="1">
      <c r="B5" s="152" t="s">
        <v>77</v>
      </c>
      <c r="C5" s="1491" t="s">
        <v>22</v>
      </c>
      <c r="D5" s="153" t="s">
        <v>78</v>
      </c>
    </row>
    <row r="6" spans="2:4" ht="39" customHeight="1">
      <c r="B6" s="1492">
        <v>1</v>
      </c>
      <c r="C6" s="1493" t="s">
        <v>1209</v>
      </c>
      <c r="D6" s="153">
        <v>22</v>
      </c>
    </row>
    <row r="9" spans="2:4" ht="18.75" customHeight="1"/>
    <row r="18" spans="1:10" ht="13.5" customHeight="1">
      <c r="A18" s="410"/>
      <c r="B18" s="411"/>
      <c r="C18" s="411"/>
      <c r="D18" s="411"/>
      <c r="E18" s="411"/>
      <c r="F18" s="411"/>
      <c r="G18" s="411"/>
      <c r="H18" s="411"/>
      <c r="I18" s="411"/>
      <c r="J18" s="411"/>
    </row>
    <row r="31" spans="1:10">
      <c r="C31" s="33"/>
    </row>
    <row r="51" ht="21.75" customHeight="1"/>
    <row r="435" ht="23.25" customHeight="1"/>
  </sheetData>
  <mergeCells count="1">
    <mergeCell ref="B3:C3"/>
  </mergeCells>
  <phoneticPr fontId="17" type="noConversion"/>
  <printOptions horizontalCentered="1" verticalCentered="1"/>
  <pageMargins left="0.75" right="0.75" top="1" bottom="1" header="0.5" footer="0.5"/>
  <pageSetup scale="7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2060"/>
  </sheetPr>
  <dimension ref="A1:O435"/>
  <sheetViews>
    <sheetView view="pageBreakPreview" topLeftCell="A34" zoomScale="64" zoomScaleNormal="100" zoomScaleSheetLayoutView="64" workbookViewId="0">
      <selection activeCell="J28" sqref="J28"/>
    </sheetView>
  </sheetViews>
  <sheetFormatPr defaultColWidth="9.140625" defaultRowHeight="12.75"/>
  <cols>
    <col min="1" max="1" width="2.140625" style="37" customWidth="1"/>
    <col min="2" max="2" width="2.140625" style="33" customWidth="1"/>
    <col min="3" max="3" width="14.5703125" style="33" customWidth="1"/>
    <col min="4" max="4" width="17.42578125" style="33" customWidth="1"/>
    <col min="5" max="5" width="11.42578125" style="33" customWidth="1"/>
    <col min="6" max="6" width="13.28515625" style="33" customWidth="1"/>
    <col min="7" max="8" width="15" style="33" customWidth="1"/>
    <col min="9" max="9" width="13.28515625" style="33" customWidth="1"/>
    <col min="10" max="10" width="9.7109375" style="33" customWidth="1"/>
    <col min="11" max="11" width="4" style="33" customWidth="1"/>
    <col min="12" max="12" width="11.7109375" style="33" bestFit="1" customWidth="1"/>
    <col min="13" max="16384" width="9.140625" style="33"/>
  </cols>
  <sheetData>
    <row r="1" spans="2:15" ht="12.75" customHeight="1" thickBot="1">
      <c r="B1" s="37"/>
      <c r="C1" s="37"/>
      <c r="D1" s="37"/>
      <c r="E1" s="37"/>
      <c r="F1" s="37"/>
      <c r="G1" s="37"/>
      <c r="H1" s="37"/>
      <c r="I1" s="37"/>
      <c r="J1" s="37"/>
      <c r="K1" s="37"/>
    </row>
    <row r="2" spans="2:15" ht="21" customHeight="1" thickBot="1">
      <c r="B2" s="1871" t="s">
        <v>1375</v>
      </c>
      <c r="C2" s="1872"/>
      <c r="D2" s="1872"/>
      <c r="E2" s="1872"/>
      <c r="F2" s="1872"/>
      <c r="G2" s="1872"/>
      <c r="H2" s="1872"/>
      <c r="I2" s="1872"/>
      <c r="J2" s="1872"/>
      <c r="K2" s="1873"/>
      <c r="L2" s="37"/>
    </row>
    <row r="3" spans="2:15" ht="12.75" customHeight="1">
      <c r="B3" s="73"/>
      <c r="C3" s="74"/>
      <c r="D3" s="74"/>
      <c r="E3" s="74"/>
      <c r="F3" s="74"/>
      <c r="G3" s="74"/>
      <c r="H3" s="74"/>
      <c r="I3" s="74"/>
      <c r="J3" s="74"/>
      <c r="K3" s="75"/>
      <c r="L3" s="37"/>
    </row>
    <row r="4" spans="2:15" ht="15.75">
      <c r="B4" s="73"/>
      <c r="C4" s="1875" t="s">
        <v>404</v>
      </c>
      <c r="D4" s="1739" t="s">
        <v>2004</v>
      </c>
      <c r="E4" s="1870" t="str">
        <f>TEXT(TY," mmm-yyyy")</f>
        <v xml:space="preserve"> Jun-2021</v>
      </c>
      <c r="F4" s="1870"/>
      <c r="G4" s="1870"/>
      <c r="H4" s="1620" t="str">
        <f>CTY</f>
        <v>Apr-21 to Jun-21</v>
      </c>
      <c r="I4" s="1621"/>
      <c r="J4" s="1452"/>
      <c r="K4" s="75"/>
      <c r="L4" s="37"/>
    </row>
    <row r="5" spans="2:15" ht="15.75">
      <c r="B5" s="73"/>
      <c r="C5" s="1876"/>
      <c r="D5" s="1874"/>
      <c r="E5" s="1455" t="s">
        <v>446</v>
      </c>
      <c r="F5" s="205" t="s">
        <v>464</v>
      </c>
      <c r="G5" s="1455" t="s">
        <v>465</v>
      </c>
      <c r="H5" s="1455" t="s">
        <v>446</v>
      </c>
      <c r="I5" s="76" t="s">
        <v>464</v>
      </c>
      <c r="J5" s="1452" t="s">
        <v>465</v>
      </c>
      <c r="K5" s="75"/>
      <c r="L5" s="37"/>
    </row>
    <row r="6" spans="2:15" ht="15">
      <c r="B6" s="73"/>
      <c r="C6" s="92" t="s">
        <v>405</v>
      </c>
      <c r="D6" s="88"/>
      <c r="E6" s="88"/>
      <c r="F6" s="88"/>
      <c r="G6" s="88"/>
      <c r="H6" s="88"/>
      <c r="I6" s="88"/>
      <c r="J6" s="88"/>
      <c r="K6" s="72"/>
      <c r="L6" s="37"/>
    </row>
    <row r="7" spans="2:15" ht="15">
      <c r="B7" s="73"/>
      <c r="C7" s="88" t="s">
        <v>448</v>
      </c>
      <c r="D7" s="88">
        <f>Data!C82</f>
        <v>366595</v>
      </c>
      <c r="E7" s="88">
        <f>Data!D82</f>
        <v>28825</v>
      </c>
      <c r="F7" s="88">
        <f>Data!E82</f>
        <v>31401.360000000001</v>
      </c>
      <c r="G7" s="88">
        <f>F7*100/E7</f>
        <v>108.93793581960104</v>
      </c>
      <c r="H7" s="88">
        <f>Data!I82</f>
        <v>89238</v>
      </c>
      <c r="I7" s="88">
        <f>Data!J82</f>
        <v>100441.15</v>
      </c>
      <c r="J7" s="88">
        <f>I7*100/H7</f>
        <v>112.55423698424438</v>
      </c>
      <c r="K7" s="77"/>
      <c r="L7" s="37"/>
    </row>
    <row r="8" spans="2:15" ht="15">
      <c r="B8" s="73"/>
      <c r="C8" s="90" t="s">
        <v>449</v>
      </c>
      <c r="D8" s="88">
        <f>Data!C87</f>
        <v>388240</v>
      </c>
      <c r="E8" s="88">
        <f>Data!D87</f>
        <v>31534</v>
      </c>
      <c r="F8" s="88">
        <f>Data!E87</f>
        <v>22677.23</v>
      </c>
      <c r="G8" s="88">
        <f>F8*100/E8</f>
        <v>71.913585336462233</v>
      </c>
      <c r="H8" s="88">
        <f>Data!I87</f>
        <v>97602</v>
      </c>
      <c r="I8" s="88">
        <f>Data!J87</f>
        <v>77368.600000000006</v>
      </c>
      <c r="J8" s="88">
        <f>I8*100/H8</f>
        <v>79.269482182742166</v>
      </c>
      <c r="K8" s="77"/>
      <c r="L8" s="37"/>
    </row>
    <row r="9" spans="2:15" ht="15">
      <c r="B9" s="73"/>
      <c r="C9" s="90" t="s">
        <v>466</v>
      </c>
      <c r="D9" s="88">
        <f>Data!C95</f>
        <v>382880</v>
      </c>
      <c r="E9" s="88">
        <f>Data!D95</f>
        <v>30867</v>
      </c>
      <c r="F9" s="88">
        <f>Data!E95</f>
        <v>30080.77</v>
      </c>
      <c r="G9" s="88">
        <f>F9*100/E9</f>
        <v>97.4528460815758</v>
      </c>
      <c r="H9" s="88">
        <f>Data!I95</f>
        <v>93734</v>
      </c>
      <c r="I9" s="88">
        <f>Data!J95</f>
        <v>94387.62</v>
      </c>
      <c r="J9" s="88">
        <f>I9*100/H9</f>
        <v>100.69731367486717</v>
      </c>
      <c r="K9" s="77"/>
      <c r="L9" s="37"/>
    </row>
    <row r="10" spans="2:15" ht="15">
      <c r="B10" s="73"/>
      <c r="C10" s="90" t="s">
        <v>467</v>
      </c>
      <c r="D10" s="88">
        <f>Data!C91</f>
        <v>17485</v>
      </c>
      <c r="E10" s="88">
        <f>Data!D91</f>
        <v>1502</v>
      </c>
      <c r="F10" s="88">
        <f>Data!E91</f>
        <v>1318.77</v>
      </c>
      <c r="G10" s="88">
        <f>F10*100/E10</f>
        <v>87.800932090545942</v>
      </c>
      <c r="H10" s="88">
        <f>Data!I91</f>
        <v>4545</v>
      </c>
      <c r="I10" s="88">
        <f>Data!J91</f>
        <v>4484.74</v>
      </c>
      <c r="J10" s="88">
        <f>I10*100/H10</f>
        <v>98.674147414741469</v>
      </c>
      <c r="K10" s="72"/>
      <c r="L10" s="37"/>
      <c r="O10" s="198"/>
    </row>
    <row r="11" spans="2:15" ht="15">
      <c r="B11" s="78"/>
      <c r="C11" s="95" t="s">
        <v>406</v>
      </c>
      <c r="D11" s="91">
        <f>SUM(D7:D10)</f>
        <v>1155200</v>
      </c>
      <c r="E11" s="91">
        <f>SUM(E7:E10)</f>
        <v>92728</v>
      </c>
      <c r="F11" s="91">
        <f>SUM(F7:F10)</f>
        <v>85478.13</v>
      </c>
      <c r="G11" s="92">
        <f>F11*100/E11</f>
        <v>92.181574066085759</v>
      </c>
      <c r="H11" s="91">
        <f>SUM(H7:H10)</f>
        <v>285119</v>
      </c>
      <c r="I11" s="91">
        <f>SUM(I7:I10)</f>
        <v>276682.11</v>
      </c>
      <c r="J11" s="93">
        <f>I11*100/H11</f>
        <v>97.040923263619746</v>
      </c>
      <c r="K11" s="72"/>
      <c r="L11" s="37"/>
    </row>
    <row r="12" spans="2:15" ht="15">
      <c r="B12" s="78"/>
      <c r="C12" s="1043" t="s">
        <v>407</v>
      </c>
      <c r="D12" s="1044"/>
      <c r="E12" s="1044"/>
      <c r="F12" s="1044"/>
      <c r="G12" s="1044"/>
      <c r="H12" s="1044"/>
      <c r="I12" s="1044"/>
      <c r="J12" s="1045"/>
      <c r="K12" s="79"/>
      <c r="L12" s="37"/>
    </row>
    <row r="13" spans="2:15" ht="15">
      <c r="B13" s="78"/>
      <c r="C13" s="87" t="s">
        <v>448</v>
      </c>
      <c r="D13" s="88">
        <f>Data!C84</f>
        <v>61044</v>
      </c>
      <c r="E13" s="88">
        <f>Data!D84</f>
        <v>7276</v>
      </c>
      <c r="F13" s="88">
        <f>Data!E84</f>
        <v>7023.29</v>
      </c>
      <c r="G13" s="88">
        <f>F13*100/E13</f>
        <v>96.526800439802088</v>
      </c>
      <c r="H13" s="88">
        <f>Data!I84</f>
        <v>17717</v>
      </c>
      <c r="I13" s="88">
        <f>Data!J84</f>
        <v>15227.22</v>
      </c>
      <c r="J13" s="89">
        <f>I13*100/H13</f>
        <v>85.946943613478581</v>
      </c>
      <c r="K13" s="79"/>
      <c r="L13" s="37"/>
    </row>
    <row r="14" spans="2:15" ht="15.75">
      <c r="B14" s="80"/>
      <c r="C14" s="90" t="s">
        <v>449</v>
      </c>
      <c r="D14" s="88">
        <f>Data!C88</f>
        <v>74198</v>
      </c>
      <c r="E14" s="88">
        <f>Data!D88</f>
        <v>6164</v>
      </c>
      <c r="F14" s="88">
        <f>Data!E88</f>
        <v>7068.76</v>
      </c>
      <c r="G14" s="88">
        <f>F14*100/E14</f>
        <v>114.67813108371188</v>
      </c>
      <c r="H14" s="88">
        <f>Data!I88</f>
        <v>17268</v>
      </c>
      <c r="I14" s="88">
        <f>Data!J88</f>
        <v>17434.560000000001</v>
      </c>
      <c r="J14" s="89">
        <f>I14*100/H14</f>
        <v>100.96455872133427</v>
      </c>
      <c r="K14" s="79"/>
      <c r="L14" s="37"/>
    </row>
    <row r="15" spans="2:15" ht="15.75">
      <c r="B15" s="80"/>
      <c r="C15" s="90" t="s">
        <v>466</v>
      </c>
      <c r="D15" s="88">
        <f>Data!C96</f>
        <v>12832</v>
      </c>
      <c r="E15" s="88">
        <f>Data!D96</f>
        <v>1775</v>
      </c>
      <c r="F15" s="88">
        <f>Data!E96</f>
        <v>1778.61</v>
      </c>
      <c r="G15" s="88">
        <f>F15*100/E15</f>
        <v>100.20338028169014</v>
      </c>
      <c r="H15" s="88">
        <f>Data!I96</f>
        <v>3638</v>
      </c>
      <c r="I15" s="88">
        <f>Data!J96</f>
        <v>2976.89</v>
      </c>
      <c r="J15" s="89">
        <f>I15*100/H15</f>
        <v>81.827652556349648</v>
      </c>
      <c r="K15" s="79"/>
      <c r="L15" s="37"/>
    </row>
    <row r="16" spans="2:15" ht="15">
      <c r="B16" s="78"/>
      <c r="C16" s="90" t="s">
        <v>467</v>
      </c>
      <c r="D16" s="88">
        <f>Data!C92</f>
        <v>1470</v>
      </c>
      <c r="E16" s="88">
        <f>Data!D92</f>
        <v>126</v>
      </c>
      <c r="F16" s="88">
        <f>Data!E92</f>
        <v>129.55000000000001</v>
      </c>
      <c r="G16" s="88">
        <f>F16*100/E16</f>
        <v>102.81746031746033</v>
      </c>
      <c r="H16" s="88">
        <f>Data!I92</f>
        <v>386</v>
      </c>
      <c r="I16" s="88">
        <f>Data!J92</f>
        <v>379.16</v>
      </c>
      <c r="J16" s="89">
        <f>I16*100/H16</f>
        <v>98.2279792746114</v>
      </c>
      <c r="K16" s="79"/>
      <c r="L16" s="37"/>
    </row>
    <row r="17" spans="1:15" ht="15.75">
      <c r="B17" s="78"/>
      <c r="C17" s="94" t="s">
        <v>406</v>
      </c>
      <c r="D17" s="93">
        <f t="shared" ref="D17:I17" si="0">SUM(D13:D16)</f>
        <v>149544</v>
      </c>
      <c r="E17" s="93">
        <f t="shared" si="0"/>
        <v>15341</v>
      </c>
      <c r="F17" s="93">
        <f t="shared" si="0"/>
        <v>16000.21</v>
      </c>
      <c r="G17" s="92">
        <f>F17*100/E17</f>
        <v>104.29704712860961</v>
      </c>
      <c r="H17" s="93">
        <f t="shared" si="0"/>
        <v>39009</v>
      </c>
      <c r="I17" s="93">
        <f t="shared" si="0"/>
        <v>36017.83</v>
      </c>
      <c r="J17" s="93">
        <f>I17*100/H17</f>
        <v>92.3321028480607</v>
      </c>
      <c r="K17" s="81"/>
      <c r="L17" s="399"/>
    </row>
    <row r="18" spans="1:15" ht="41.25" customHeight="1">
      <c r="A18" s="412">
        <v>43252</v>
      </c>
      <c r="B18" s="419"/>
      <c r="C18" s="1046" t="s">
        <v>411</v>
      </c>
      <c r="D18" s="1047"/>
      <c r="E18" s="1047"/>
      <c r="F18" s="1047"/>
      <c r="G18" s="1047"/>
      <c r="H18" s="1047"/>
      <c r="I18" s="1047"/>
      <c r="J18" s="1048"/>
      <c r="K18" s="79"/>
      <c r="L18" s="37"/>
    </row>
    <row r="19" spans="1:15" ht="15.75">
      <c r="B19" s="80"/>
      <c r="C19" s="87" t="s">
        <v>448</v>
      </c>
      <c r="D19" s="88">
        <f>Data!C83</f>
        <v>43020</v>
      </c>
      <c r="E19" s="88">
        <f>Data!D83</f>
        <v>3623</v>
      </c>
      <c r="F19" s="88">
        <f>Data!E83</f>
        <v>3793.48</v>
      </c>
      <c r="G19" s="89">
        <f>F19*100/E19</f>
        <v>104.70549268561965</v>
      </c>
      <c r="H19" s="88">
        <f>Data!I83</f>
        <v>11186</v>
      </c>
      <c r="I19" s="88">
        <f>Data!J83</f>
        <v>11157.37</v>
      </c>
      <c r="J19" s="89">
        <f>I19*100/H19</f>
        <v>99.744055068836047</v>
      </c>
      <c r="K19" s="1494"/>
      <c r="L19" s="37"/>
    </row>
    <row r="20" spans="1:15" ht="15">
      <c r="B20" s="78"/>
      <c r="C20" s="94" t="s">
        <v>406</v>
      </c>
      <c r="D20" s="93">
        <f>D19</f>
        <v>43020</v>
      </c>
      <c r="E20" s="93">
        <f t="shared" ref="E20:F20" si="1">E19</f>
        <v>3623</v>
      </c>
      <c r="F20" s="93">
        <f t="shared" si="1"/>
        <v>3793.48</v>
      </c>
      <c r="G20" s="93">
        <f>F20*100/E20</f>
        <v>104.70549268561965</v>
      </c>
      <c r="H20" s="93">
        <f t="shared" ref="H20:I20" si="2">H19</f>
        <v>11186</v>
      </c>
      <c r="I20" s="93">
        <f t="shared" si="2"/>
        <v>11157.37</v>
      </c>
      <c r="J20" s="93">
        <f>I20*100/H20</f>
        <v>99.744055068836047</v>
      </c>
      <c r="K20" s="79"/>
      <c r="L20" s="37"/>
    </row>
    <row r="21" spans="1:15" ht="15">
      <c r="B21" s="78"/>
      <c r="C21" s="67" t="s">
        <v>21</v>
      </c>
      <c r="D21" s="88">
        <f>Data!C100</f>
        <v>8236</v>
      </c>
      <c r="E21" s="88">
        <f>Data!D100</f>
        <v>1144</v>
      </c>
      <c r="F21" s="88">
        <f>Data!E100</f>
        <v>1145.74</v>
      </c>
      <c r="G21" s="89">
        <f>F21*100/E21</f>
        <v>100.15209790209791</v>
      </c>
      <c r="H21" s="88">
        <f>Data!I100</f>
        <v>2770</v>
      </c>
      <c r="I21" s="88">
        <f>Data!J100</f>
        <v>1866.04</v>
      </c>
      <c r="J21" s="92">
        <f>I21*100/H21</f>
        <v>67.366064981949464</v>
      </c>
      <c r="K21" s="79"/>
      <c r="L21" s="37"/>
    </row>
    <row r="22" spans="1:15" ht="15.75">
      <c r="B22" s="80"/>
      <c r="C22" s="1043"/>
      <c r="D22" s="1044"/>
      <c r="E22" s="1044"/>
      <c r="F22" s="1044"/>
      <c r="G22" s="1044"/>
      <c r="H22" s="1044"/>
      <c r="I22" s="1044"/>
      <c r="J22" s="1045"/>
      <c r="K22" s="79"/>
      <c r="L22" s="37"/>
    </row>
    <row r="23" spans="1:15" ht="15.75">
      <c r="B23" s="78"/>
      <c r="C23" s="87" t="s">
        <v>448</v>
      </c>
      <c r="D23" s="89">
        <f>D7+D13+D19</f>
        <v>470659</v>
      </c>
      <c r="E23" s="89">
        <f>E7+E13+E19</f>
        <v>39724</v>
      </c>
      <c r="F23" s="89">
        <f>F7+F13+F19</f>
        <v>42218.130000000005</v>
      </c>
      <c r="G23" s="92">
        <f>F23*100/E23</f>
        <v>106.27864766891551</v>
      </c>
      <c r="H23" s="89">
        <f>H7+H13+H19</f>
        <v>118141</v>
      </c>
      <c r="I23" s="89">
        <f>I7+I13+I19</f>
        <v>126825.73999999999</v>
      </c>
      <c r="J23" s="89">
        <f>I23*100/H23</f>
        <v>107.3511651331883</v>
      </c>
      <c r="K23" s="81"/>
      <c r="L23" s="37"/>
    </row>
    <row r="24" spans="1:15" ht="15">
      <c r="B24" s="78"/>
      <c r="C24" s="90" t="s">
        <v>449</v>
      </c>
      <c r="D24" s="89">
        <f>D8+D14</f>
        <v>462438</v>
      </c>
      <c r="E24" s="89">
        <f>E8+E14</f>
        <v>37698</v>
      </c>
      <c r="F24" s="89">
        <f>F8+F14</f>
        <v>29745.989999999998</v>
      </c>
      <c r="G24" s="88">
        <f>F24*100/E24</f>
        <v>78.906016234282987</v>
      </c>
      <c r="H24" s="89">
        <f>H8+H14</f>
        <v>114870</v>
      </c>
      <c r="I24" s="89">
        <f>I8+I14</f>
        <v>94803.16</v>
      </c>
      <c r="J24" s="89">
        <f>I24*100/H24</f>
        <v>82.530826151301468</v>
      </c>
      <c r="K24" s="72"/>
      <c r="L24" s="37"/>
    </row>
    <row r="25" spans="1:15" ht="15">
      <c r="B25" s="78"/>
      <c r="C25" s="90" t="s">
        <v>468</v>
      </c>
      <c r="D25" s="89">
        <f>D9+D10+D15+D16</f>
        <v>414667</v>
      </c>
      <c r="E25" s="89">
        <f>E9+E10+E15+E16</f>
        <v>34270</v>
      </c>
      <c r="F25" s="89">
        <f>F9+F10+F15+F16</f>
        <v>33307.700000000004</v>
      </c>
      <c r="G25" s="88">
        <f>F25*100/E25</f>
        <v>97.192004668806547</v>
      </c>
      <c r="H25" s="89">
        <f>H9+H10+H15+H16</f>
        <v>102303</v>
      </c>
      <c r="I25" s="89">
        <f>I9+I10+I15+I16</f>
        <v>102228.41</v>
      </c>
      <c r="J25" s="89">
        <f>I25*100/H25</f>
        <v>99.927089137170952</v>
      </c>
      <c r="K25" s="72"/>
      <c r="L25" s="37"/>
      <c r="O25" s="33" t="s">
        <v>730</v>
      </c>
    </row>
    <row r="26" spans="1:15" ht="15">
      <c r="B26" s="78"/>
      <c r="C26" s="94" t="s">
        <v>406</v>
      </c>
      <c r="D26" s="93">
        <f>D23+D24+D25+D21</f>
        <v>1356000</v>
      </c>
      <c r="E26" s="93">
        <f>E23+E24+E25+E21</f>
        <v>112836</v>
      </c>
      <c r="F26" s="93">
        <f>F23+F24+F25+F21</f>
        <v>106417.56000000001</v>
      </c>
      <c r="G26" s="92">
        <f>F26*100/E26</f>
        <v>94.31170902903331</v>
      </c>
      <c r="H26" s="93">
        <f>H23+H24+H25+H21</f>
        <v>338084</v>
      </c>
      <c r="I26" s="93">
        <f>I23+I24+I25+I21</f>
        <v>325723.34999999998</v>
      </c>
      <c r="J26" s="93">
        <f>I26*100/H26</f>
        <v>96.343911572271963</v>
      </c>
      <c r="K26" s="79"/>
      <c r="L26" s="37"/>
    </row>
    <row r="27" spans="1:15" ht="15.75">
      <c r="B27" s="80"/>
      <c r="C27" s="11" t="s">
        <v>469</v>
      </c>
      <c r="D27" s="11"/>
      <c r="E27" s="11"/>
      <c r="F27" s="11"/>
      <c r="G27" s="11"/>
      <c r="H27" s="124"/>
      <c r="I27" s="124"/>
      <c r="J27" s="11"/>
      <c r="K27" s="79"/>
      <c r="L27" s="37"/>
    </row>
    <row r="28" spans="1:15" ht="15.75" thickBot="1">
      <c r="B28" s="73"/>
      <c r="C28" s="37"/>
      <c r="D28" s="44"/>
      <c r="E28" s="44"/>
      <c r="F28" s="44"/>
      <c r="G28" s="44"/>
      <c r="H28" s="44"/>
      <c r="I28" s="44"/>
      <c r="J28" s="44"/>
      <c r="K28" s="72"/>
      <c r="L28" s="37"/>
    </row>
    <row r="29" spans="1:15" ht="21.75" customHeight="1" thickBot="1">
      <c r="B29" s="1871" t="str">
        <f>"All India Energy Generation During " &amp; CTY &amp;" (MU)"</f>
        <v>All India Energy Generation During Apr-21 to Jun-21 (MU)</v>
      </c>
      <c r="C29" s="1872"/>
      <c r="D29" s="1872"/>
      <c r="E29" s="1872"/>
      <c r="F29" s="1872"/>
      <c r="G29" s="1872"/>
      <c r="H29" s="1872"/>
      <c r="I29" s="1872"/>
      <c r="J29" s="1872"/>
      <c r="K29" s="1873"/>
      <c r="L29" s="37"/>
      <c r="O29" s="33" t="str">
        <f>"All India Energy Generation During"&amp;CTY&amp;" (MU)"</f>
        <v>All India Energy Generation DuringApr-21 to Jun-21 (MU)</v>
      </c>
    </row>
    <row r="30" spans="1:15" ht="15">
      <c r="B30" s="73"/>
      <c r="C30" s="44"/>
      <c r="D30" s="44"/>
      <c r="E30" s="44"/>
      <c r="F30" s="44"/>
      <c r="G30" s="44"/>
      <c r="H30" s="44"/>
      <c r="I30" s="44"/>
      <c r="J30" s="44"/>
      <c r="K30" s="79"/>
      <c r="L30" s="37"/>
    </row>
    <row r="31" spans="1:15" ht="15">
      <c r="B31" s="73"/>
      <c r="C31" s="195" t="s">
        <v>426</v>
      </c>
      <c r="D31" s="44"/>
      <c r="E31" s="44"/>
      <c r="F31" s="44"/>
      <c r="G31" s="44"/>
      <c r="H31" s="44"/>
      <c r="I31" s="44"/>
      <c r="J31" s="44"/>
      <c r="K31" s="79"/>
      <c r="L31" s="37"/>
    </row>
    <row r="32" spans="1:15" ht="15">
      <c r="B32" s="73"/>
      <c r="C32" s="44"/>
      <c r="D32" s="44"/>
      <c r="E32" s="44"/>
      <c r="F32" s="44"/>
      <c r="G32" s="44"/>
      <c r="H32" s="44"/>
      <c r="I32" s="44"/>
      <c r="J32" s="44"/>
      <c r="K32" s="79"/>
      <c r="L32" s="37"/>
    </row>
    <row r="33" spans="2:12" ht="15">
      <c r="B33" s="73"/>
      <c r="C33" s="44"/>
      <c r="D33" s="44"/>
      <c r="E33" s="44"/>
      <c r="F33" s="44"/>
      <c r="G33" s="44"/>
      <c r="H33" s="44"/>
      <c r="I33" s="44"/>
      <c r="J33" s="44"/>
      <c r="K33" s="79"/>
      <c r="L33" s="37"/>
    </row>
    <row r="34" spans="2:12" ht="15">
      <c r="B34" s="73"/>
      <c r="C34" s="44"/>
      <c r="D34" s="44"/>
      <c r="E34" s="44"/>
      <c r="F34" s="44"/>
      <c r="G34" s="44"/>
      <c r="H34" s="44"/>
      <c r="I34" s="44"/>
      <c r="J34" s="44"/>
      <c r="K34" s="79"/>
      <c r="L34" s="37"/>
    </row>
    <row r="35" spans="2:12" ht="15.75">
      <c r="B35" s="73"/>
      <c r="C35" s="44"/>
      <c r="D35" s="44"/>
      <c r="E35" s="44"/>
      <c r="F35" s="44"/>
      <c r="G35" s="44"/>
      <c r="H35" s="44"/>
      <c r="I35" s="44"/>
      <c r="J35" s="44"/>
      <c r="K35" s="81"/>
      <c r="L35" s="37"/>
    </row>
    <row r="36" spans="2:12" ht="15">
      <c r="B36" s="73"/>
      <c r="C36" s="44"/>
      <c r="D36" s="44"/>
      <c r="E36" s="44"/>
      <c r="F36" s="44"/>
      <c r="G36" s="44"/>
      <c r="H36" s="44"/>
      <c r="I36" s="44"/>
      <c r="J36" s="44"/>
      <c r="K36" s="72"/>
      <c r="L36" s="37"/>
    </row>
    <row r="37" spans="2:12" ht="15">
      <c r="B37" s="73"/>
      <c r="C37" s="44"/>
      <c r="D37" s="44"/>
      <c r="E37" s="44"/>
      <c r="F37" s="44"/>
      <c r="G37" s="44"/>
      <c r="H37" s="44"/>
      <c r="I37" s="44"/>
      <c r="J37" s="44"/>
      <c r="K37" s="72"/>
      <c r="L37" s="37"/>
    </row>
    <row r="38" spans="2:12" ht="15">
      <c r="B38" s="73"/>
      <c r="C38" s="44"/>
      <c r="D38" s="44"/>
      <c r="E38" s="44"/>
      <c r="F38" s="44"/>
      <c r="G38" s="44"/>
      <c r="H38" s="44"/>
      <c r="I38" s="44"/>
      <c r="J38" s="44"/>
      <c r="K38" s="72"/>
      <c r="L38" s="37"/>
    </row>
    <row r="39" spans="2:12" ht="15">
      <c r="B39" s="73"/>
      <c r="C39" s="44"/>
      <c r="D39" s="44"/>
      <c r="E39" s="44"/>
      <c r="F39" s="44"/>
      <c r="G39" s="44"/>
      <c r="H39" s="44"/>
      <c r="I39" s="44"/>
      <c r="J39" s="44"/>
      <c r="K39" s="72"/>
      <c r="L39" s="37"/>
    </row>
    <row r="40" spans="2:12" ht="15">
      <c r="B40" s="73"/>
      <c r="C40" s="44"/>
      <c r="D40" s="44"/>
      <c r="E40" s="44"/>
      <c r="F40" s="44"/>
      <c r="G40" s="44"/>
      <c r="H40" s="44"/>
      <c r="I40" s="44"/>
      <c r="J40" s="44"/>
      <c r="K40" s="72"/>
      <c r="L40" s="37"/>
    </row>
    <row r="41" spans="2:12" ht="15">
      <c r="B41" s="73"/>
      <c r="C41" s="44"/>
      <c r="D41" s="44"/>
      <c r="E41" s="44"/>
      <c r="F41" s="44"/>
      <c r="G41" s="44"/>
      <c r="H41" s="44"/>
      <c r="I41" s="44"/>
      <c r="J41" s="44"/>
      <c r="K41" s="72"/>
      <c r="L41" s="37"/>
    </row>
    <row r="42" spans="2:12" ht="15">
      <c r="B42" s="73"/>
      <c r="C42" s="44"/>
      <c r="D42" s="44"/>
      <c r="E42" s="44"/>
      <c r="F42" s="44"/>
      <c r="G42" s="44"/>
      <c r="H42" s="44"/>
      <c r="I42" s="44"/>
      <c r="J42" s="44"/>
      <c r="K42" s="72"/>
      <c r="L42" s="37"/>
    </row>
    <row r="43" spans="2:12" ht="15">
      <c r="B43" s="73"/>
      <c r="C43" s="44"/>
      <c r="D43" s="44"/>
      <c r="E43" s="44"/>
      <c r="F43" s="44"/>
      <c r="G43" s="44"/>
      <c r="H43" s="44"/>
      <c r="I43" s="44"/>
      <c r="J43" s="44"/>
      <c r="K43" s="72"/>
      <c r="L43" s="37"/>
    </row>
    <row r="44" spans="2:12" ht="15">
      <c r="B44" s="73"/>
      <c r="C44" s="11"/>
      <c r="D44" s="44"/>
      <c r="E44" s="44"/>
      <c r="F44" s="44"/>
      <c r="G44" s="44"/>
      <c r="H44" s="44"/>
      <c r="I44" s="44"/>
      <c r="J44" s="44"/>
      <c r="K44" s="72"/>
      <c r="L44" s="37"/>
    </row>
    <row r="45" spans="2:12" ht="15">
      <c r="B45" s="82"/>
      <c r="C45" s="83"/>
      <c r="D45" s="83"/>
      <c r="E45" s="83"/>
      <c r="F45" s="83"/>
      <c r="G45" s="83"/>
      <c r="H45" s="83"/>
      <c r="I45" s="83"/>
      <c r="J45" s="83"/>
      <c r="K45" s="84"/>
    </row>
    <row r="46" spans="2:12" ht="15">
      <c r="B46" s="82"/>
      <c r="C46" s="83"/>
      <c r="D46" s="83"/>
      <c r="E46" s="83"/>
      <c r="F46" s="83"/>
      <c r="G46" s="83"/>
      <c r="H46" s="83"/>
      <c r="I46" s="83"/>
      <c r="J46" s="83"/>
      <c r="K46" s="84"/>
    </row>
    <row r="47" spans="2:12" ht="15">
      <c r="B47" s="82"/>
      <c r="C47" s="83"/>
      <c r="D47" s="83"/>
      <c r="E47" s="83"/>
      <c r="F47" s="83"/>
      <c r="G47" s="83"/>
      <c r="H47" s="83"/>
      <c r="I47" s="83"/>
      <c r="J47" s="83"/>
      <c r="K47" s="84"/>
    </row>
    <row r="48" spans="2:12" ht="15">
      <c r="B48" s="82"/>
      <c r="C48" s="83"/>
      <c r="D48" s="83"/>
      <c r="E48" s="83"/>
      <c r="F48" s="83"/>
      <c r="G48" s="83"/>
      <c r="H48" s="83"/>
      <c r="I48" s="83"/>
      <c r="J48" s="83"/>
      <c r="K48" s="84"/>
    </row>
    <row r="49" spans="2:11" ht="15">
      <c r="B49" s="82"/>
      <c r="C49" s="83"/>
      <c r="D49" s="83"/>
      <c r="E49" s="83"/>
      <c r="F49" s="83"/>
      <c r="G49" s="83"/>
      <c r="H49" s="83"/>
      <c r="I49" s="83"/>
      <c r="J49" s="83"/>
      <c r="K49" s="84"/>
    </row>
    <row r="50" spans="2:11" ht="15">
      <c r="B50" s="82"/>
      <c r="C50" s="83"/>
      <c r="D50" s="83"/>
      <c r="E50" s="83"/>
      <c r="F50" s="83"/>
      <c r="G50" s="83"/>
      <c r="H50" s="83"/>
      <c r="I50" s="83"/>
      <c r="J50" s="83"/>
      <c r="K50" s="84"/>
    </row>
    <row r="51" spans="2:11" ht="21.75" customHeight="1" thickBot="1">
      <c r="B51" s="82"/>
      <c r="C51" s="44"/>
      <c r="D51" s="44"/>
      <c r="E51" s="44"/>
      <c r="F51" s="44"/>
      <c r="G51" s="44"/>
      <c r="H51" s="44"/>
      <c r="I51" s="44"/>
      <c r="J51" s="44"/>
      <c r="K51" s="72"/>
    </row>
    <row r="52" spans="2:11" ht="21" customHeight="1" thickBot="1">
      <c r="B52" s="1867" t="s">
        <v>233</v>
      </c>
      <c r="C52" s="1868"/>
      <c r="D52" s="1868"/>
      <c r="E52" s="1868"/>
      <c r="F52" s="1868"/>
      <c r="G52" s="1868"/>
      <c r="H52" s="1868"/>
      <c r="I52" s="1868"/>
      <c r="J52" s="1868"/>
      <c r="K52" s="1869"/>
    </row>
    <row r="53" spans="2:11" ht="15">
      <c r="B53" s="82"/>
      <c r="C53" s="44"/>
      <c r="D53" s="44"/>
      <c r="E53" s="195"/>
      <c r="F53" s="195"/>
      <c r="G53" s="196"/>
      <c r="H53" s="196" t="s">
        <v>234</v>
      </c>
      <c r="I53" s="44"/>
      <c r="J53" s="44"/>
      <c r="K53" s="72"/>
    </row>
    <row r="54" spans="2:11" ht="25.5">
      <c r="B54" s="82"/>
      <c r="C54" s="44"/>
      <c r="D54" s="44"/>
      <c r="E54" s="1649" t="s">
        <v>444</v>
      </c>
      <c r="F54" s="1649"/>
      <c r="G54" s="197" t="s">
        <v>235</v>
      </c>
      <c r="H54" s="197" t="s">
        <v>235</v>
      </c>
      <c r="I54" s="44"/>
      <c r="J54" s="44"/>
      <c r="K54" s="72"/>
    </row>
    <row r="55" spans="2:11" ht="15">
      <c r="B55" s="82"/>
      <c r="C55" s="44"/>
      <c r="D55" s="44"/>
      <c r="E55" s="256">
        <f>BTY</f>
        <v>44347</v>
      </c>
      <c r="F55" s="256">
        <f>BLY</f>
        <v>43982</v>
      </c>
      <c r="G55" s="1452" t="str">
        <f>"Upto " &amp; TEXT( BTY, "mmm-yyyy")</f>
        <v>Upto May-2021</v>
      </c>
      <c r="H55" s="1452" t="str">
        <f>"Upto " &amp; TEXT( BLY, "mmm-yyyy")</f>
        <v>Upto May-2020</v>
      </c>
      <c r="I55" s="44"/>
      <c r="J55" s="44"/>
      <c r="K55" s="72"/>
    </row>
    <row r="56" spans="2:11" ht="15">
      <c r="B56" s="82"/>
      <c r="C56" s="44"/>
      <c r="D56" s="44"/>
      <c r="E56" s="730">
        <f>'1B'!E25</f>
        <v>14515.608303000001</v>
      </c>
      <c r="F56" s="730">
        <f>'1B'!F25</f>
        <v>13584.622744942</v>
      </c>
      <c r="G56" s="730">
        <f>'1B'!G25</f>
        <v>26164.53516268</v>
      </c>
      <c r="H56" s="730">
        <f>'1B'!H25</f>
        <v>24296.951001592002</v>
      </c>
      <c r="I56" s="44"/>
      <c r="J56" s="1865"/>
      <c r="K56" s="1866"/>
    </row>
    <row r="57" spans="2:11" ht="15.75" thickBot="1">
      <c r="B57" s="85"/>
      <c r="C57" s="129"/>
      <c r="D57" s="129"/>
      <c r="E57" s="120"/>
      <c r="F57" s="120"/>
      <c r="G57" s="120"/>
      <c r="H57" s="120"/>
      <c r="I57" s="129"/>
      <c r="J57" s="193"/>
      <c r="K57" s="194">
        <v>22</v>
      </c>
    </row>
    <row r="58" spans="2:11" ht="15">
      <c r="B58" s="83"/>
      <c r="C58" s="44"/>
      <c r="D58" s="44"/>
      <c r="I58" s="44"/>
      <c r="J58" s="44"/>
      <c r="K58" s="44"/>
    </row>
    <row r="59" spans="2:11" ht="15">
      <c r="B59" s="83"/>
      <c r="C59" s="44"/>
      <c r="D59" s="44"/>
      <c r="G59" s="134"/>
      <c r="H59" s="134"/>
      <c r="I59" s="219"/>
      <c r="J59" s="44"/>
      <c r="K59" s="44"/>
    </row>
    <row r="60" spans="2:11" ht="15">
      <c r="B60" s="86"/>
      <c r="C60" s="130"/>
      <c r="D60" s="130"/>
      <c r="E60" s="130"/>
      <c r="F60" s="130"/>
      <c r="G60" s="220"/>
      <c r="H60" s="221" t="s">
        <v>446</v>
      </c>
      <c r="I60" s="222" t="s">
        <v>444</v>
      </c>
      <c r="J60" s="130"/>
      <c r="K60" s="130"/>
    </row>
    <row r="61" spans="2:11" ht="15">
      <c r="B61" s="86"/>
      <c r="C61" s="130"/>
      <c r="D61" s="130"/>
      <c r="E61" s="130"/>
      <c r="F61" s="130"/>
      <c r="G61" s="220" t="s">
        <v>405</v>
      </c>
      <c r="H61" s="223">
        <f>H11</f>
        <v>285119</v>
      </c>
      <c r="I61" s="223">
        <f>I11</f>
        <v>276682.11</v>
      </c>
      <c r="J61" s="130"/>
      <c r="K61" s="130"/>
    </row>
    <row r="62" spans="2:11" ht="15">
      <c r="B62" s="86"/>
      <c r="C62" s="130"/>
      <c r="D62" s="130"/>
      <c r="E62" s="130"/>
      <c r="F62" s="130"/>
      <c r="G62" s="220" t="s">
        <v>407</v>
      </c>
      <c r="H62" s="223">
        <f>H17</f>
        <v>39009</v>
      </c>
      <c r="I62" s="223">
        <f>I17</f>
        <v>36017.83</v>
      </c>
      <c r="J62" s="130"/>
      <c r="K62" s="130"/>
    </row>
    <row r="63" spans="2:11" ht="15">
      <c r="B63" s="86"/>
      <c r="C63" s="130"/>
      <c r="D63" s="130"/>
      <c r="E63" s="130"/>
      <c r="F63" s="130"/>
      <c r="G63" s="220" t="s">
        <v>411</v>
      </c>
      <c r="H63" s="223">
        <f>H20</f>
        <v>11186</v>
      </c>
      <c r="I63" s="223">
        <f>I20</f>
        <v>11157.37</v>
      </c>
      <c r="J63" s="130"/>
      <c r="K63" s="130"/>
    </row>
    <row r="64" spans="2:11" ht="15">
      <c r="B64" s="86"/>
      <c r="C64" s="130"/>
      <c r="D64" s="130"/>
      <c r="E64" s="130"/>
      <c r="F64" s="130"/>
      <c r="G64" s="220" t="s">
        <v>406</v>
      </c>
      <c r="H64" s="223">
        <f>H26</f>
        <v>338084</v>
      </c>
      <c r="I64" s="223">
        <f>I26</f>
        <v>325723.34999999998</v>
      </c>
      <c r="J64" s="130"/>
      <c r="K64" s="130"/>
    </row>
    <row r="65" spans="7:9">
      <c r="G65" s="134"/>
      <c r="H65" s="134"/>
      <c r="I65" s="134"/>
    </row>
    <row r="435" ht="23.25" customHeight="1"/>
  </sheetData>
  <mergeCells count="9">
    <mergeCell ref="J56:K56"/>
    <mergeCell ref="B52:K52"/>
    <mergeCell ref="E54:F54"/>
    <mergeCell ref="E4:G4"/>
    <mergeCell ref="B2:K2"/>
    <mergeCell ref="B29:K29"/>
    <mergeCell ref="D4:D5"/>
    <mergeCell ref="H4:I4"/>
    <mergeCell ref="C4:C5"/>
  </mergeCells>
  <phoneticPr fontId="34" type="noConversion"/>
  <printOptions horizontalCentered="1" verticalCentered="1"/>
  <pageMargins left="0.75" right="0.75" top="1" bottom="1" header="0.5" footer="0.5"/>
  <pageSetup scale="66" firstPageNumber="6" orientation="portrait" r:id="rId1"/>
  <headerFooter alignWithMargins="0"/>
  <colBreaks count="1" manualBreakCount="1">
    <brk id="12" max="58"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2060"/>
  </sheetPr>
  <dimension ref="A3:J434"/>
  <sheetViews>
    <sheetView view="pageBreakPreview" zoomScale="64" zoomScaleNormal="100" zoomScaleSheetLayoutView="64" workbookViewId="0">
      <selection activeCell="J28" sqref="J28"/>
    </sheetView>
  </sheetViews>
  <sheetFormatPr defaultRowHeight="12.75"/>
  <cols>
    <col min="1" max="1" width="5.42578125" customWidth="1"/>
    <col min="2" max="2" width="4.28515625" customWidth="1"/>
    <col min="3" max="3" width="74.140625" customWidth="1"/>
    <col min="4" max="4" width="6.5703125" customWidth="1"/>
    <col min="5" max="5" width="0.140625" customWidth="1"/>
  </cols>
  <sheetData>
    <row r="3" spans="2:9" ht="20.25">
      <c r="B3" s="1877" t="s">
        <v>2</v>
      </c>
      <c r="C3" s="1877"/>
      <c r="D3" s="156"/>
    </row>
    <row r="4" spans="2:9" ht="16.5" customHeight="1">
      <c r="B4" s="155"/>
      <c r="C4" s="155"/>
      <c r="D4" s="156"/>
    </row>
    <row r="5" spans="2:9" ht="12" customHeight="1">
      <c r="B5" s="153" t="s">
        <v>77</v>
      </c>
      <c r="C5" s="153" t="s">
        <v>22</v>
      </c>
      <c r="D5" s="153" t="s">
        <v>78</v>
      </c>
    </row>
    <row r="6" spans="2:9">
      <c r="B6" s="153">
        <v>1</v>
      </c>
      <c r="C6" s="157" t="str">
        <f>"Energy Power Supply Position (Provisional) for" &amp; TEXT( TY," mmm-yyyy")</f>
        <v>Energy Power Supply Position (Provisional) for Jun-2021</v>
      </c>
      <c r="D6" s="153">
        <v>23</v>
      </c>
    </row>
    <row r="7" spans="2:9">
      <c r="B7" s="153">
        <v>2</v>
      </c>
      <c r="C7" s="157" t="str">
        <f>"Peak  Power Supply Position (Provisional) for" &amp; TEXT( TY," mmm-yyyy")</f>
        <v>Peak  Power Supply Position (Provisional) for Jun-2021</v>
      </c>
      <c r="D7" s="153">
        <v>24</v>
      </c>
    </row>
    <row r="8" spans="2:9">
      <c r="B8" s="153">
        <v>3</v>
      </c>
      <c r="C8" s="158" t="str">
        <f>"Energy Power Supply Position (Revised) for" &amp; TEXT( BTY," mmm-yyyy") &amp; " and " &amp; " during "  &amp;  BCTY</f>
        <v>Energy Power Supply Position (Revised) for May-2021 and  during Apr-21 to May-21</v>
      </c>
      <c r="D8" s="153">
        <v>25</v>
      </c>
    </row>
    <row r="9" spans="2:9">
      <c r="B9" s="159">
        <v>4</v>
      </c>
      <c r="C9" s="158" t="str">
        <f>"Peak Power Supply Position (Revised) for" &amp; TEXT( BTY," mmm-yyyy") &amp; " and " &amp; " during "  &amp;  BCTY</f>
        <v>Peak Power Supply Position (Revised) for May-2021 and  during Apr-21 to May-21</v>
      </c>
      <c r="D9" s="153">
        <v>26</v>
      </c>
      <c r="I9">
        <f>TY</f>
        <v>44348</v>
      </c>
    </row>
    <row r="10" spans="2:9">
      <c r="B10" s="159">
        <v>5</v>
      </c>
      <c r="C10" s="158" t="str">
        <f>"Power Supply to Agricultural Sector during"&amp; TEXT( TY," mmm-yyyy")</f>
        <v>Power Supply to Agricultural Sector during Jun-2021</v>
      </c>
      <c r="D10" s="153">
        <v>27</v>
      </c>
    </row>
    <row r="11" spans="2:9" ht="15">
      <c r="B11" s="126"/>
      <c r="C11" s="127"/>
      <c r="D11" s="125"/>
      <c r="E11" s="125"/>
    </row>
    <row r="15" spans="2:9" ht="15">
      <c r="C15" s="1878"/>
      <c r="D15" s="1878"/>
      <c r="E15" s="1878"/>
    </row>
    <row r="16" spans="2:9" ht="7.5" customHeight="1"/>
    <row r="17" spans="1:10" ht="15.75" customHeight="1">
      <c r="A17" s="568"/>
      <c r="B17" s="411"/>
      <c r="C17" s="411"/>
      <c r="D17" s="411"/>
      <c r="E17" s="411"/>
      <c r="F17" s="411"/>
      <c r="G17" s="411"/>
      <c r="H17" s="411"/>
      <c r="I17" s="411"/>
      <c r="J17" s="411"/>
    </row>
    <row r="30" spans="1:10">
      <c r="C30" t="s">
        <v>623</v>
      </c>
    </row>
    <row r="50" ht="21.75" customHeight="1"/>
    <row r="434" ht="23.25" customHeight="1"/>
  </sheetData>
  <mergeCells count="2">
    <mergeCell ref="B3:C3"/>
    <mergeCell ref="C15:E15"/>
  </mergeCells>
  <phoneticPr fontId="17" type="noConversion"/>
  <printOptions horizontalCentered="1" verticalCentered="1"/>
  <pageMargins left="0.75" right="0.75" top="1" bottom="1" header="0.5" footer="0.5"/>
  <pageSetup scale="7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2060"/>
  </sheetPr>
  <dimension ref="B1:Q435"/>
  <sheetViews>
    <sheetView view="pageBreakPreview" topLeftCell="A37" zoomScale="64" zoomScaleNormal="75" zoomScaleSheetLayoutView="64" workbookViewId="0">
      <selection activeCell="J28" sqref="J28"/>
    </sheetView>
  </sheetViews>
  <sheetFormatPr defaultRowHeight="18" customHeight="1"/>
  <cols>
    <col min="1" max="1" width="9.140625" style="264"/>
    <col min="2" max="2" width="48.85546875" style="264" customWidth="1"/>
    <col min="3" max="3" width="21.42578125" style="264" customWidth="1"/>
    <col min="4" max="4" width="19.85546875" style="264" customWidth="1"/>
    <col min="5" max="5" width="14.85546875" style="264" customWidth="1"/>
    <col min="6" max="6" width="15.28515625" style="264" customWidth="1"/>
    <col min="7" max="7" width="22.42578125" style="264" customWidth="1"/>
    <col min="8" max="8" width="21.28515625" style="264" customWidth="1"/>
    <col min="9" max="9" width="13.140625" style="264" customWidth="1"/>
    <col min="10" max="10" width="17" style="264" customWidth="1"/>
    <col min="11" max="12" width="9.140625" style="264"/>
    <col min="13" max="13" width="13.85546875" style="264" customWidth="1"/>
    <col min="14" max="14" width="13.140625" style="264" customWidth="1"/>
    <col min="15" max="15" width="5.7109375" style="264" customWidth="1"/>
    <col min="16" max="16" width="1.28515625" style="264" customWidth="1"/>
    <col min="17" max="257" width="9.140625" style="264"/>
    <col min="258" max="258" width="48.85546875" style="264" customWidth="1"/>
    <col min="259" max="259" width="21.42578125" style="264" customWidth="1"/>
    <col min="260" max="260" width="19.85546875" style="264" customWidth="1"/>
    <col min="261" max="261" width="14.85546875" style="264" customWidth="1"/>
    <col min="262" max="262" width="15.28515625" style="264" customWidth="1"/>
    <col min="263" max="263" width="22.42578125" style="264" customWidth="1"/>
    <col min="264" max="264" width="21.28515625" style="264" customWidth="1"/>
    <col min="265" max="265" width="13.140625" style="264" customWidth="1"/>
    <col min="266" max="266" width="17" style="264" customWidth="1"/>
    <col min="267" max="268" width="9.140625" style="264"/>
    <col min="269" max="269" width="13.85546875" style="264" customWidth="1"/>
    <col min="270" max="270" width="13.140625" style="264" customWidth="1"/>
    <col min="271" max="271" width="5.7109375" style="264" customWidth="1"/>
    <col min="272" max="272" width="1.28515625" style="264" customWidth="1"/>
    <col min="273" max="513" width="9.140625" style="264"/>
    <col min="514" max="514" width="48.85546875" style="264" customWidth="1"/>
    <col min="515" max="515" width="21.42578125" style="264" customWidth="1"/>
    <col min="516" max="516" width="19.85546875" style="264" customWidth="1"/>
    <col min="517" max="517" width="14.85546875" style="264" customWidth="1"/>
    <col min="518" max="518" width="15.28515625" style="264" customWidth="1"/>
    <col min="519" max="519" width="22.42578125" style="264" customWidth="1"/>
    <col min="520" max="520" width="21.28515625" style="264" customWidth="1"/>
    <col min="521" max="521" width="13.140625" style="264" customWidth="1"/>
    <col min="522" max="522" width="17" style="264" customWidth="1"/>
    <col min="523" max="524" width="9.140625" style="264"/>
    <col min="525" max="525" width="13.85546875" style="264" customWidth="1"/>
    <col min="526" max="526" width="13.140625" style="264" customWidth="1"/>
    <col min="527" max="527" width="5.7109375" style="264" customWidth="1"/>
    <col min="528" max="528" width="1.28515625" style="264" customWidth="1"/>
    <col min="529" max="769" width="9.140625" style="264"/>
    <col min="770" max="770" width="48.85546875" style="264" customWidth="1"/>
    <col min="771" max="771" width="21.42578125" style="264" customWidth="1"/>
    <col min="772" max="772" width="19.85546875" style="264" customWidth="1"/>
    <col min="773" max="773" width="14.85546875" style="264" customWidth="1"/>
    <col min="774" max="774" width="15.28515625" style="264" customWidth="1"/>
    <col min="775" max="775" width="22.42578125" style="264" customWidth="1"/>
    <col min="776" max="776" width="21.28515625" style="264" customWidth="1"/>
    <col min="777" max="777" width="13.140625" style="264" customWidth="1"/>
    <col min="778" max="778" width="17" style="264" customWidth="1"/>
    <col min="779" max="780" width="9.140625" style="264"/>
    <col min="781" max="781" width="13.85546875" style="264" customWidth="1"/>
    <col min="782" max="782" width="13.140625" style="264" customWidth="1"/>
    <col min="783" max="783" width="5.7109375" style="264" customWidth="1"/>
    <col min="784" max="784" width="1.28515625" style="264" customWidth="1"/>
    <col min="785" max="1025" width="9.140625" style="264"/>
    <col min="1026" max="1026" width="48.85546875" style="264" customWidth="1"/>
    <col min="1027" max="1027" width="21.42578125" style="264" customWidth="1"/>
    <col min="1028" max="1028" width="19.85546875" style="264" customWidth="1"/>
    <col min="1029" max="1029" width="14.85546875" style="264" customWidth="1"/>
    <col min="1030" max="1030" width="15.28515625" style="264" customWidth="1"/>
    <col min="1031" max="1031" width="22.42578125" style="264" customWidth="1"/>
    <col min="1032" max="1032" width="21.28515625" style="264" customWidth="1"/>
    <col min="1033" max="1033" width="13.140625" style="264" customWidth="1"/>
    <col min="1034" max="1034" width="17" style="264" customWidth="1"/>
    <col min="1035" max="1036" width="9.140625" style="264"/>
    <col min="1037" max="1037" width="13.85546875" style="264" customWidth="1"/>
    <col min="1038" max="1038" width="13.140625" style="264" customWidth="1"/>
    <col min="1039" max="1039" width="5.7109375" style="264" customWidth="1"/>
    <col min="1040" max="1040" width="1.28515625" style="264" customWidth="1"/>
    <col min="1041" max="1281" width="9.140625" style="264"/>
    <col min="1282" max="1282" width="48.85546875" style="264" customWidth="1"/>
    <col min="1283" max="1283" width="21.42578125" style="264" customWidth="1"/>
    <col min="1284" max="1284" width="19.85546875" style="264" customWidth="1"/>
    <col min="1285" max="1285" width="14.85546875" style="264" customWidth="1"/>
    <col min="1286" max="1286" width="15.28515625" style="264" customWidth="1"/>
    <col min="1287" max="1287" width="22.42578125" style="264" customWidth="1"/>
    <col min="1288" max="1288" width="21.28515625" style="264" customWidth="1"/>
    <col min="1289" max="1289" width="13.140625" style="264" customWidth="1"/>
    <col min="1290" max="1290" width="17" style="264" customWidth="1"/>
    <col min="1291" max="1292" width="9.140625" style="264"/>
    <col min="1293" max="1293" width="13.85546875" style="264" customWidth="1"/>
    <col min="1294" max="1294" width="13.140625" style="264" customWidth="1"/>
    <col min="1295" max="1295" width="5.7109375" style="264" customWidth="1"/>
    <col min="1296" max="1296" width="1.28515625" style="264" customWidth="1"/>
    <col min="1297" max="1537" width="9.140625" style="264"/>
    <col min="1538" max="1538" width="48.85546875" style="264" customWidth="1"/>
    <col min="1539" max="1539" width="21.42578125" style="264" customWidth="1"/>
    <col min="1540" max="1540" width="19.85546875" style="264" customWidth="1"/>
    <col min="1541" max="1541" width="14.85546875" style="264" customWidth="1"/>
    <col min="1542" max="1542" width="15.28515625" style="264" customWidth="1"/>
    <col min="1543" max="1543" width="22.42578125" style="264" customWidth="1"/>
    <col min="1544" max="1544" width="21.28515625" style="264" customWidth="1"/>
    <col min="1545" max="1545" width="13.140625" style="264" customWidth="1"/>
    <col min="1546" max="1546" width="17" style="264" customWidth="1"/>
    <col min="1547" max="1548" width="9.140625" style="264"/>
    <col min="1549" max="1549" width="13.85546875" style="264" customWidth="1"/>
    <col min="1550" max="1550" width="13.140625" style="264" customWidth="1"/>
    <col min="1551" max="1551" width="5.7109375" style="264" customWidth="1"/>
    <col min="1552" max="1552" width="1.28515625" style="264" customWidth="1"/>
    <col min="1553" max="1793" width="9.140625" style="264"/>
    <col min="1794" max="1794" width="48.85546875" style="264" customWidth="1"/>
    <col min="1795" max="1795" width="21.42578125" style="264" customWidth="1"/>
    <col min="1796" max="1796" width="19.85546875" style="264" customWidth="1"/>
    <col min="1797" max="1797" width="14.85546875" style="264" customWidth="1"/>
    <col min="1798" max="1798" width="15.28515625" style="264" customWidth="1"/>
    <col min="1799" max="1799" width="22.42578125" style="264" customWidth="1"/>
    <col min="1800" max="1800" width="21.28515625" style="264" customWidth="1"/>
    <col min="1801" max="1801" width="13.140625" style="264" customWidth="1"/>
    <col min="1802" max="1802" width="17" style="264" customWidth="1"/>
    <col min="1803" max="1804" width="9.140625" style="264"/>
    <col min="1805" max="1805" width="13.85546875" style="264" customWidth="1"/>
    <col min="1806" max="1806" width="13.140625" style="264" customWidth="1"/>
    <col min="1807" max="1807" width="5.7109375" style="264" customWidth="1"/>
    <col min="1808" max="1808" width="1.28515625" style="264" customWidth="1"/>
    <col min="1809" max="2049" width="9.140625" style="264"/>
    <col min="2050" max="2050" width="48.85546875" style="264" customWidth="1"/>
    <col min="2051" max="2051" width="21.42578125" style="264" customWidth="1"/>
    <col min="2052" max="2052" width="19.85546875" style="264" customWidth="1"/>
    <col min="2053" max="2053" width="14.85546875" style="264" customWidth="1"/>
    <col min="2054" max="2054" width="15.28515625" style="264" customWidth="1"/>
    <col min="2055" max="2055" width="22.42578125" style="264" customWidth="1"/>
    <col min="2056" max="2056" width="21.28515625" style="264" customWidth="1"/>
    <col min="2057" max="2057" width="13.140625" style="264" customWidth="1"/>
    <col min="2058" max="2058" width="17" style="264" customWidth="1"/>
    <col min="2059" max="2060" width="9.140625" style="264"/>
    <col min="2061" max="2061" width="13.85546875" style="264" customWidth="1"/>
    <col min="2062" max="2062" width="13.140625" style="264" customWidth="1"/>
    <col min="2063" max="2063" width="5.7109375" style="264" customWidth="1"/>
    <col min="2064" max="2064" width="1.28515625" style="264" customWidth="1"/>
    <col min="2065" max="2305" width="9.140625" style="264"/>
    <col min="2306" max="2306" width="48.85546875" style="264" customWidth="1"/>
    <col min="2307" max="2307" width="21.42578125" style="264" customWidth="1"/>
    <col min="2308" max="2308" width="19.85546875" style="264" customWidth="1"/>
    <col min="2309" max="2309" width="14.85546875" style="264" customWidth="1"/>
    <col min="2310" max="2310" width="15.28515625" style="264" customWidth="1"/>
    <col min="2311" max="2311" width="22.42578125" style="264" customWidth="1"/>
    <col min="2312" max="2312" width="21.28515625" style="264" customWidth="1"/>
    <col min="2313" max="2313" width="13.140625" style="264" customWidth="1"/>
    <col min="2314" max="2314" width="17" style="264" customWidth="1"/>
    <col min="2315" max="2316" width="9.140625" style="264"/>
    <col min="2317" max="2317" width="13.85546875" style="264" customWidth="1"/>
    <col min="2318" max="2318" width="13.140625" style="264" customWidth="1"/>
    <col min="2319" max="2319" width="5.7109375" style="264" customWidth="1"/>
    <col min="2320" max="2320" width="1.28515625" style="264" customWidth="1"/>
    <col min="2321" max="2561" width="9.140625" style="264"/>
    <col min="2562" max="2562" width="48.85546875" style="264" customWidth="1"/>
    <col min="2563" max="2563" width="21.42578125" style="264" customWidth="1"/>
    <col min="2564" max="2564" width="19.85546875" style="264" customWidth="1"/>
    <col min="2565" max="2565" width="14.85546875" style="264" customWidth="1"/>
    <col min="2566" max="2566" width="15.28515625" style="264" customWidth="1"/>
    <col min="2567" max="2567" width="22.42578125" style="264" customWidth="1"/>
    <col min="2568" max="2568" width="21.28515625" style="264" customWidth="1"/>
    <col min="2569" max="2569" width="13.140625" style="264" customWidth="1"/>
    <col min="2570" max="2570" width="17" style="264" customWidth="1"/>
    <col min="2571" max="2572" width="9.140625" style="264"/>
    <col min="2573" max="2573" width="13.85546875" style="264" customWidth="1"/>
    <col min="2574" max="2574" width="13.140625" style="264" customWidth="1"/>
    <col min="2575" max="2575" width="5.7109375" style="264" customWidth="1"/>
    <col min="2576" max="2576" width="1.28515625" style="264" customWidth="1"/>
    <col min="2577" max="2817" width="9.140625" style="264"/>
    <col min="2818" max="2818" width="48.85546875" style="264" customWidth="1"/>
    <col min="2819" max="2819" width="21.42578125" style="264" customWidth="1"/>
    <col min="2820" max="2820" width="19.85546875" style="264" customWidth="1"/>
    <col min="2821" max="2821" width="14.85546875" style="264" customWidth="1"/>
    <col min="2822" max="2822" width="15.28515625" style="264" customWidth="1"/>
    <col min="2823" max="2823" width="22.42578125" style="264" customWidth="1"/>
    <col min="2824" max="2824" width="21.28515625" style="264" customWidth="1"/>
    <col min="2825" max="2825" width="13.140625" style="264" customWidth="1"/>
    <col min="2826" max="2826" width="17" style="264" customWidth="1"/>
    <col min="2827" max="2828" width="9.140625" style="264"/>
    <col min="2829" max="2829" width="13.85546875" style="264" customWidth="1"/>
    <col min="2830" max="2830" width="13.140625" style="264" customWidth="1"/>
    <col min="2831" max="2831" width="5.7109375" style="264" customWidth="1"/>
    <col min="2832" max="2832" width="1.28515625" style="264" customWidth="1"/>
    <col min="2833" max="3073" width="9.140625" style="264"/>
    <col min="3074" max="3074" width="48.85546875" style="264" customWidth="1"/>
    <col min="3075" max="3075" width="21.42578125" style="264" customWidth="1"/>
    <col min="3076" max="3076" width="19.85546875" style="264" customWidth="1"/>
    <col min="3077" max="3077" width="14.85546875" style="264" customWidth="1"/>
    <col min="3078" max="3078" width="15.28515625" style="264" customWidth="1"/>
    <col min="3079" max="3079" width="22.42578125" style="264" customWidth="1"/>
    <col min="3080" max="3080" width="21.28515625" style="264" customWidth="1"/>
    <col min="3081" max="3081" width="13.140625" style="264" customWidth="1"/>
    <col min="3082" max="3082" width="17" style="264" customWidth="1"/>
    <col min="3083" max="3084" width="9.140625" style="264"/>
    <col min="3085" max="3085" width="13.85546875" style="264" customWidth="1"/>
    <col min="3086" max="3086" width="13.140625" style="264" customWidth="1"/>
    <col min="3087" max="3087" width="5.7109375" style="264" customWidth="1"/>
    <col min="3088" max="3088" width="1.28515625" style="264" customWidth="1"/>
    <col min="3089" max="3329" width="9.140625" style="264"/>
    <col min="3330" max="3330" width="48.85546875" style="264" customWidth="1"/>
    <col min="3331" max="3331" width="21.42578125" style="264" customWidth="1"/>
    <col min="3332" max="3332" width="19.85546875" style="264" customWidth="1"/>
    <col min="3333" max="3333" width="14.85546875" style="264" customWidth="1"/>
    <col min="3334" max="3334" width="15.28515625" style="264" customWidth="1"/>
    <col min="3335" max="3335" width="22.42578125" style="264" customWidth="1"/>
    <col min="3336" max="3336" width="21.28515625" style="264" customWidth="1"/>
    <col min="3337" max="3337" width="13.140625" style="264" customWidth="1"/>
    <col min="3338" max="3338" width="17" style="264" customWidth="1"/>
    <col min="3339" max="3340" width="9.140625" style="264"/>
    <col min="3341" max="3341" width="13.85546875" style="264" customWidth="1"/>
    <col min="3342" max="3342" width="13.140625" style="264" customWidth="1"/>
    <col min="3343" max="3343" width="5.7109375" style="264" customWidth="1"/>
    <col min="3344" max="3344" width="1.28515625" style="264" customWidth="1"/>
    <col min="3345" max="3585" width="9.140625" style="264"/>
    <col min="3586" max="3586" width="48.85546875" style="264" customWidth="1"/>
    <col min="3587" max="3587" width="21.42578125" style="264" customWidth="1"/>
    <col min="3588" max="3588" width="19.85546875" style="264" customWidth="1"/>
    <col min="3589" max="3589" width="14.85546875" style="264" customWidth="1"/>
    <col min="3590" max="3590" width="15.28515625" style="264" customWidth="1"/>
    <col min="3591" max="3591" width="22.42578125" style="264" customWidth="1"/>
    <col min="3592" max="3592" width="21.28515625" style="264" customWidth="1"/>
    <col min="3593" max="3593" width="13.140625" style="264" customWidth="1"/>
    <col min="3594" max="3594" width="17" style="264" customWidth="1"/>
    <col min="3595" max="3596" width="9.140625" style="264"/>
    <col min="3597" max="3597" width="13.85546875" style="264" customWidth="1"/>
    <col min="3598" max="3598" width="13.140625" style="264" customWidth="1"/>
    <col min="3599" max="3599" width="5.7109375" style="264" customWidth="1"/>
    <col min="3600" max="3600" width="1.28515625" style="264" customWidth="1"/>
    <col min="3601" max="3841" width="9.140625" style="264"/>
    <col min="3842" max="3842" width="48.85546875" style="264" customWidth="1"/>
    <col min="3843" max="3843" width="21.42578125" style="264" customWidth="1"/>
    <col min="3844" max="3844" width="19.85546875" style="264" customWidth="1"/>
    <col min="3845" max="3845" width="14.85546875" style="264" customWidth="1"/>
    <col min="3846" max="3846" width="15.28515625" style="264" customWidth="1"/>
    <col min="3847" max="3847" width="22.42578125" style="264" customWidth="1"/>
    <col min="3848" max="3848" width="21.28515625" style="264" customWidth="1"/>
    <col min="3849" max="3849" width="13.140625" style="264" customWidth="1"/>
    <col min="3850" max="3850" width="17" style="264" customWidth="1"/>
    <col min="3851" max="3852" width="9.140625" style="264"/>
    <col min="3853" max="3853" width="13.85546875" style="264" customWidth="1"/>
    <col min="3854" max="3854" width="13.140625" style="264" customWidth="1"/>
    <col min="3855" max="3855" width="5.7109375" style="264" customWidth="1"/>
    <col min="3856" max="3856" width="1.28515625" style="264" customWidth="1"/>
    <col min="3857" max="4097" width="9.140625" style="264"/>
    <col min="4098" max="4098" width="48.85546875" style="264" customWidth="1"/>
    <col min="4099" max="4099" width="21.42578125" style="264" customWidth="1"/>
    <col min="4100" max="4100" width="19.85546875" style="264" customWidth="1"/>
    <col min="4101" max="4101" width="14.85546875" style="264" customWidth="1"/>
    <col min="4102" max="4102" width="15.28515625" style="264" customWidth="1"/>
    <col min="4103" max="4103" width="22.42578125" style="264" customWidth="1"/>
    <col min="4104" max="4104" width="21.28515625" style="264" customWidth="1"/>
    <col min="4105" max="4105" width="13.140625" style="264" customWidth="1"/>
    <col min="4106" max="4106" width="17" style="264" customWidth="1"/>
    <col min="4107" max="4108" width="9.140625" style="264"/>
    <col min="4109" max="4109" width="13.85546875" style="264" customWidth="1"/>
    <col min="4110" max="4110" width="13.140625" style="264" customWidth="1"/>
    <col min="4111" max="4111" width="5.7109375" style="264" customWidth="1"/>
    <col min="4112" max="4112" width="1.28515625" style="264" customWidth="1"/>
    <col min="4113" max="4353" width="9.140625" style="264"/>
    <col min="4354" max="4354" width="48.85546875" style="264" customWidth="1"/>
    <col min="4355" max="4355" width="21.42578125" style="264" customWidth="1"/>
    <col min="4356" max="4356" width="19.85546875" style="264" customWidth="1"/>
    <col min="4357" max="4357" width="14.85546875" style="264" customWidth="1"/>
    <col min="4358" max="4358" width="15.28515625" style="264" customWidth="1"/>
    <col min="4359" max="4359" width="22.42578125" style="264" customWidth="1"/>
    <col min="4360" max="4360" width="21.28515625" style="264" customWidth="1"/>
    <col min="4361" max="4361" width="13.140625" style="264" customWidth="1"/>
    <col min="4362" max="4362" width="17" style="264" customWidth="1"/>
    <col min="4363" max="4364" width="9.140625" style="264"/>
    <col min="4365" max="4365" width="13.85546875" style="264" customWidth="1"/>
    <col min="4366" max="4366" width="13.140625" style="264" customWidth="1"/>
    <col min="4367" max="4367" width="5.7109375" style="264" customWidth="1"/>
    <col min="4368" max="4368" width="1.28515625" style="264" customWidth="1"/>
    <col min="4369" max="4609" width="9.140625" style="264"/>
    <col min="4610" max="4610" width="48.85546875" style="264" customWidth="1"/>
    <col min="4611" max="4611" width="21.42578125" style="264" customWidth="1"/>
    <col min="4612" max="4612" width="19.85546875" style="264" customWidth="1"/>
    <col min="4613" max="4613" width="14.85546875" style="264" customWidth="1"/>
    <col min="4614" max="4614" width="15.28515625" style="264" customWidth="1"/>
    <col min="4615" max="4615" width="22.42578125" style="264" customWidth="1"/>
    <col min="4616" max="4616" width="21.28515625" style="264" customWidth="1"/>
    <col min="4617" max="4617" width="13.140625" style="264" customWidth="1"/>
    <col min="4618" max="4618" width="17" style="264" customWidth="1"/>
    <col min="4619" max="4620" width="9.140625" style="264"/>
    <col min="4621" max="4621" width="13.85546875" style="264" customWidth="1"/>
    <col min="4622" max="4622" width="13.140625" style="264" customWidth="1"/>
    <col min="4623" max="4623" width="5.7109375" style="264" customWidth="1"/>
    <col min="4624" max="4624" width="1.28515625" style="264" customWidth="1"/>
    <col min="4625" max="4865" width="9.140625" style="264"/>
    <col min="4866" max="4866" width="48.85546875" style="264" customWidth="1"/>
    <col min="4867" max="4867" width="21.42578125" style="264" customWidth="1"/>
    <col min="4868" max="4868" width="19.85546875" style="264" customWidth="1"/>
    <col min="4869" max="4869" width="14.85546875" style="264" customWidth="1"/>
    <col min="4870" max="4870" width="15.28515625" style="264" customWidth="1"/>
    <col min="4871" max="4871" width="22.42578125" style="264" customWidth="1"/>
    <col min="4872" max="4872" width="21.28515625" style="264" customWidth="1"/>
    <col min="4873" max="4873" width="13.140625" style="264" customWidth="1"/>
    <col min="4874" max="4874" width="17" style="264" customWidth="1"/>
    <col min="4875" max="4876" width="9.140625" style="264"/>
    <col min="4877" max="4877" width="13.85546875" style="264" customWidth="1"/>
    <col min="4878" max="4878" width="13.140625" style="264" customWidth="1"/>
    <col min="4879" max="4879" width="5.7109375" style="264" customWidth="1"/>
    <col min="4880" max="4880" width="1.28515625" style="264" customWidth="1"/>
    <col min="4881" max="5121" width="9.140625" style="264"/>
    <col min="5122" max="5122" width="48.85546875" style="264" customWidth="1"/>
    <col min="5123" max="5123" width="21.42578125" style="264" customWidth="1"/>
    <col min="5124" max="5124" width="19.85546875" style="264" customWidth="1"/>
    <col min="5125" max="5125" width="14.85546875" style="264" customWidth="1"/>
    <col min="5126" max="5126" width="15.28515625" style="264" customWidth="1"/>
    <col min="5127" max="5127" width="22.42578125" style="264" customWidth="1"/>
    <col min="5128" max="5128" width="21.28515625" style="264" customWidth="1"/>
    <col min="5129" max="5129" width="13.140625" style="264" customWidth="1"/>
    <col min="5130" max="5130" width="17" style="264" customWidth="1"/>
    <col min="5131" max="5132" width="9.140625" style="264"/>
    <col min="5133" max="5133" width="13.85546875" style="264" customWidth="1"/>
    <col min="5134" max="5134" width="13.140625" style="264" customWidth="1"/>
    <col min="5135" max="5135" width="5.7109375" style="264" customWidth="1"/>
    <col min="5136" max="5136" width="1.28515625" style="264" customWidth="1"/>
    <col min="5137" max="5377" width="9.140625" style="264"/>
    <col min="5378" max="5378" width="48.85546875" style="264" customWidth="1"/>
    <col min="5379" max="5379" width="21.42578125" style="264" customWidth="1"/>
    <col min="5380" max="5380" width="19.85546875" style="264" customWidth="1"/>
    <col min="5381" max="5381" width="14.85546875" style="264" customWidth="1"/>
    <col min="5382" max="5382" width="15.28515625" style="264" customWidth="1"/>
    <col min="5383" max="5383" width="22.42578125" style="264" customWidth="1"/>
    <col min="5384" max="5384" width="21.28515625" style="264" customWidth="1"/>
    <col min="5385" max="5385" width="13.140625" style="264" customWidth="1"/>
    <col min="5386" max="5386" width="17" style="264" customWidth="1"/>
    <col min="5387" max="5388" width="9.140625" style="264"/>
    <col min="5389" max="5389" width="13.85546875" style="264" customWidth="1"/>
    <col min="5390" max="5390" width="13.140625" style="264" customWidth="1"/>
    <col min="5391" max="5391" width="5.7109375" style="264" customWidth="1"/>
    <col min="5392" max="5392" width="1.28515625" style="264" customWidth="1"/>
    <col min="5393" max="5633" width="9.140625" style="264"/>
    <col min="5634" max="5634" width="48.85546875" style="264" customWidth="1"/>
    <col min="5635" max="5635" width="21.42578125" style="264" customWidth="1"/>
    <col min="5636" max="5636" width="19.85546875" style="264" customWidth="1"/>
    <col min="5637" max="5637" width="14.85546875" style="264" customWidth="1"/>
    <col min="5638" max="5638" width="15.28515625" style="264" customWidth="1"/>
    <col min="5639" max="5639" width="22.42578125" style="264" customWidth="1"/>
    <col min="5640" max="5640" width="21.28515625" style="264" customWidth="1"/>
    <col min="5641" max="5641" width="13.140625" style="264" customWidth="1"/>
    <col min="5642" max="5642" width="17" style="264" customWidth="1"/>
    <col min="5643" max="5644" width="9.140625" style="264"/>
    <col min="5645" max="5645" width="13.85546875" style="264" customWidth="1"/>
    <col min="5646" max="5646" width="13.140625" style="264" customWidth="1"/>
    <col min="5647" max="5647" width="5.7109375" style="264" customWidth="1"/>
    <col min="5648" max="5648" width="1.28515625" style="264" customWidth="1"/>
    <col min="5649" max="5889" width="9.140625" style="264"/>
    <col min="5890" max="5890" width="48.85546875" style="264" customWidth="1"/>
    <col min="5891" max="5891" width="21.42578125" style="264" customWidth="1"/>
    <col min="5892" max="5892" width="19.85546875" style="264" customWidth="1"/>
    <col min="5893" max="5893" width="14.85546875" style="264" customWidth="1"/>
    <col min="5894" max="5894" width="15.28515625" style="264" customWidth="1"/>
    <col min="5895" max="5895" width="22.42578125" style="264" customWidth="1"/>
    <col min="5896" max="5896" width="21.28515625" style="264" customWidth="1"/>
    <col min="5897" max="5897" width="13.140625" style="264" customWidth="1"/>
    <col min="5898" max="5898" width="17" style="264" customWidth="1"/>
    <col min="5899" max="5900" width="9.140625" style="264"/>
    <col min="5901" max="5901" width="13.85546875" style="264" customWidth="1"/>
    <col min="5902" max="5902" width="13.140625" style="264" customWidth="1"/>
    <col min="5903" max="5903" width="5.7109375" style="264" customWidth="1"/>
    <col min="5904" max="5904" width="1.28515625" style="264" customWidth="1"/>
    <col min="5905" max="6145" width="9.140625" style="264"/>
    <col min="6146" max="6146" width="48.85546875" style="264" customWidth="1"/>
    <col min="6147" max="6147" width="21.42578125" style="264" customWidth="1"/>
    <col min="6148" max="6148" width="19.85546875" style="264" customWidth="1"/>
    <col min="6149" max="6149" width="14.85546875" style="264" customWidth="1"/>
    <col min="6150" max="6150" width="15.28515625" style="264" customWidth="1"/>
    <col min="6151" max="6151" width="22.42578125" style="264" customWidth="1"/>
    <col min="6152" max="6152" width="21.28515625" style="264" customWidth="1"/>
    <col min="6153" max="6153" width="13.140625" style="264" customWidth="1"/>
    <col min="6154" max="6154" width="17" style="264" customWidth="1"/>
    <col min="6155" max="6156" width="9.140625" style="264"/>
    <col min="6157" max="6157" width="13.85546875" style="264" customWidth="1"/>
    <col min="6158" max="6158" width="13.140625" style="264" customWidth="1"/>
    <col min="6159" max="6159" width="5.7109375" style="264" customWidth="1"/>
    <col min="6160" max="6160" width="1.28515625" style="264" customWidth="1"/>
    <col min="6161" max="6401" width="9.140625" style="264"/>
    <col min="6402" max="6402" width="48.85546875" style="264" customWidth="1"/>
    <col min="6403" max="6403" width="21.42578125" style="264" customWidth="1"/>
    <col min="6404" max="6404" width="19.85546875" style="264" customWidth="1"/>
    <col min="6405" max="6405" width="14.85546875" style="264" customWidth="1"/>
    <col min="6406" max="6406" width="15.28515625" style="264" customWidth="1"/>
    <col min="6407" max="6407" width="22.42578125" style="264" customWidth="1"/>
    <col min="6408" max="6408" width="21.28515625" style="264" customWidth="1"/>
    <col min="6409" max="6409" width="13.140625" style="264" customWidth="1"/>
    <col min="6410" max="6410" width="17" style="264" customWidth="1"/>
    <col min="6411" max="6412" width="9.140625" style="264"/>
    <col min="6413" max="6413" width="13.85546875" style="264" customWidth="1"/>
    <col min="6414" max="6414" width="13.140625" style="264" customWidth="1"/>
    <col min="6415" max="6415" width="5.7109375" style="264" customWidth="1"/>
    <col min="6416" max="6416" width="1.28515625" style="264" customWidth="1"/>
    <col min="6417" max="6657" width="9.140625" style="264"/>
    <col min="6658" max="6658" width="48.85546875" style="264" customWidth="1"/>
    <col min="6659" max="6659" width="21.42578125" style="264" customWidth="1"/>
    <col min="6660" max="6660" width="19.85546875" style="264" customWidth="1"/>
    <col min="6661" max="6661" width="14.85546875" style="264" customWidth="1"/>
    <col min="6662" max="6662" width="15.28515625" style="264" customWidth="1"/>
    <col min="6663" max="6663" width="22.42578125" style="264" customWidth="1"/>
    <col min="6664" max="6664" width="21.28515625" style="264" customWidth="1"/>
    <col min="6665" max="6665" width="13.140625" style="264" customWidth="1"/>
    <col min="6666" max="6666" width="17" style="264" customWidth="1"/>
    <col min="6667" max="6668" width="9.140625" style="264"/>
    <col min="6669" max="6669" width="13.85546875" style="264" customWidth="1"/>
    <col min="6670" max="6670" width="13.140625" style="264" customWidth="1"/>
    <col min="6671" max="6671" width="5.7109375" style="264" customWidth="1"/>
    <col min="6672" max="6672" width="1.28515625" style="264" customWidth="1"/>
    <col min="6673" max="6913" width="9.140625" style="264"/>
    <col min="6914" max="6914" width="48.85546875" style="264" customWidth="1"/>
    <col min="6915" max="6915" width="21.42578125" style="264" customWidth="1"/>
    <col min="6916" max="6916" width="19.85546875" style="264" customWidth="1"/>
    <col min="6917" max="6917" width="14.85546875" style="264" customWidth="1"/>
    <col min="6918" max="6918" width="15.28515625" style="264" customWidth="1"/>
    <col min="6919" max="6919" width="22.42578125" style="264" customWidth="1"/>
    <col min="6920" max="6920" width="21.28515625" style="264" customWidth="1"/>
    <col min="6921" max="6921" width="13.140625" style="264" customWidth="1"/>
    <col min="6922" max="6922" width="17" style="264" customWidth="1"/>
    <col min="6923" max="6924" width="9.140625" style="264"/>
    <col min="6925" max="6925" width="13.85546875" style="264" customWidth="1"/>
    <col min="6926" max="6926" width="13.140625" style="264" customWidth="1"/>
    <col min="6927" max="6927" width="5.7109375" style="264" customWidth="1"/>
    <col min="6928" max="6928" width="1.28515625" style="264" customWidth="1"/>
    <col min="6929" max="7169" width="9.140625" style="264"/>
    <col min="7170" max="7170" width="48.85546875" style="264" customWidth="1"/>
    <col min="7171" max="7171" width="21.42578125" style="264" customWidth="1"/>
    <col min="7172" max="7172" width="19.85546875" style="264" customWidth="1"/>
    <col min="7173" max="7173" width="14.85546875" style="264" customWidth="1"/>
    <col min="7174" max="7174" width="15.28515625" style="264" customWidth="1"/>
    <col min="7175" max="7175" width="22.42578125" style="264" customWidth="1"/>
    <col min="7176" max="7176" width="21.28515625" style="264" customWidth="1"/>
    <col min="7177" max="7177" width="13.140625" style="264" customWidth="1"/>
    <col min="7178" max="7178" width="17" style="264" customWidth="1"/>
    <col min="7179" max="7180" width="9.140625" style="264"/>
    <col min="7181" max="7181" width="13.85546875" style="264" customWidth="1"/>
    <col min="7182" max="7182" width="13.140625" style="264" customWidth="1"/>
    <col min="7183" max="7183" width="5.7109375" style="264" customWidth="1"/>
    <col min="7184" max="7184" width="1.28515625" style="264" customWidth="1"/>
    <col min="7185" max="7425" width="9.140625" style="264"/>
    <col min="7426" max="7426" width="48.85546875" style="264" customWidth="1"/>
    <col min="7427" max="7427" width="21.42578125" style="264" customWidth="1"/>
    <col min="7428" max="7428" width="19.85546875" style="264" customWidth="1"/>
    <col min="7429" max="7429" width="14.85546875" style="264" customWidth="1"/>
    <col min="7430" max="7430" width="15.28515625" style="264" customWidth="1"/>
    <col min="7431" max="7431" width="22.42578125" style="264" customWidth="1"/>
    <col min="7432" max="7432" width="21.28515625" style="264" customWidth="1"/>
    <col min="7433" max="7433" width="13.140625" style="264" customWidth="1"/>
    <col min="7434" max="7434" width="17" style="264" customWidth="1"/>
    <col min="7435" max="7436" width="9.140625" style="264"/>
    <col min="7437" max="7437" width="13.85546875" style="264" customWidth="1"/>
    <col min="7438" max="7438" width="13.140625" style="264" customWidth="1"/>
    <col min="7439" max="7439" width="5.7109375" style="264" customWidth="1"/>
    <col min="7440" max="7440" width="1.28515625" style="264" customWidth="1"/>
    <col min="7441" max="7681" width="9.140625" style="264"/>
    <col min="7682" max="7682" width="48.85546875" style="264" customWidth="1"/>
    <col min="7683" max="7683" width="21.42578125" style="264" customWidth="1"/>
    <col min="7684" max="7684" width="19.85546875" style="264" customWidth="1"/>
    <col min="7685" max="7685" width="14.85546875" style="264" customWidth="1"/>
    <col min="7686" max="7686" width="15.28515625" style="264" customWidth="1"/>
    <col min="7687" max="7687" width="22.42578125" style="264" customWidth="1"/>
    <col min="7688" max="7688" width="21.28515625" style="264" customWidth="1"/>
    <col min="7689" max="7689" width="13.140625" style="264" customWidth="1"/>
    <col min="7690" max="7690" width="17" style="264" customWidth="1"/>
    <col min="7691" max="7692" width="9.140625" style="264"/>
    <col min="7693" max="7693" width="13.85546875" style="264" customWidth="1"/>
    <col min="7694" max="7694" width="13.140625" style="264" customWidth="1"/>
    <col min="7695" max="7695" width="5.7109375" style="264" customWidth="1"/>
    <col min="7696" max="7696" width="1.28515625" style="264" customWidth="1"/>
    <col min="7697" max="7937" width="9.140625" style="264"/>
    <col min="7938" max="7938" width="48.85546875" style="264" customWidth="1"/>
    <col min="7939" max="7939" width="21.42578125" style="264" customWidth="1"/>
    <col min="7940" max="7940" width="19.85546875" style="264" customWidth="1"/>
    <col min="7941" max="7941" width="14.85546875" style="264" customWidth="1"/>
    <col min="7942" max="7942" width="15.28515625" style="264" customWidth="1"/>
    <col min="7943" max="7943" width="22.42578125" style="264" customWidth="1"/>
    <col min="7944" max="7944" width="21.28515625" style="264" customWidth="1"/>
    <col min="7945" max="7945" width="13.140625" style="264" customWidth="1"/>
    <col min="7946" max="7946" width="17" style="264" customWidth="1"/>
    <col min="7947" max="7948" width="9.140625" style="264"/>
    <col min="7949" max="7949" width="13.85546875" style="264" customWidth="1"/>
    <col min="7950" max="7950" width="13.140625" style="264" customWidth="1"/>
    <col min="7951" max="7951" width="5.7109375" style="264" customWidth="1"/>
    <col min="7952" max="7952" width="1.28515625" style="264" customWidth="1"/>
    <col min="7953" max="8193" width="9.140625" style="264"/>
    <col min="8194" max="8194" width="48.85546875" style="264" customWidth="1"/>
    <col min="8195" max="8195" width="21.42578125" style="264" customWidth="1"/>
    <col min="8196" max="8196" width="19.85546875" style="264" customWidth="1"/>
    <col min="8197" max="8197" width="14.85546875" style="264" customWidth="1"/>
    <col min="8198" max="8198" width="15.28515625" style="264" customWidth="1"/>
    <col min="8199" max="8199" width="22.42578125" style="264" customWidth="1"/>
    <col min="8200" max="8200" width="21.28515625" style="264" customWidth="1"/>
    <col min="8201" max="8201" width="13.140625" style="264" customWidth="1"/>
    <col min="8202" max="8202" width="17" style="264" customWidth="1"/>
    <col min="8203" max="8204" width="9.140625" style="264"/>
    <col min="8205" max="8205" width="13.85546875" style="264" customWidth="1"/>
    <col min="8206" max="8206" width="13.140625" style="264" customWidth="1"/>
    <col min="8207" max="8207" width="5.7109375" style="264" customWidth="1"/>
    <col min="8208" max="8208" width="1.28515625" style="264" customWidth="1"/>
    <col min="8209" max="8449" width="9.140625" style="264"/>
    <col min="8450" max="8450" width="48.85546875" style="264" customWidth="1"/>
    <col min="8451" max="8451" width="21.42578125" style="264" customWidth="1"/>
    <col min="8452" max="8452" width="19.85546875" style="264" customWidth="1"/>
    <col min="8453" max="8453" width="14.85546875" style="264" customWidth="1"/>
    <col min="8454" max="8454" width="15.28515625" style="264" customWidth="1"/>
    <col min="8455" max="8455" width="22.42578125" style="264" customWidth="1"/>
    <col min="8456" max="8456" width="21.28515625" style="264" customWidth="1"/>
    <col min="8457" max="8457" width="13.140625" style="264" customWidth="1"/>
    <col min="8458" max="8458" width="17" style="264" customWidth="1"/>
    <col min="8459" max="8460" width="9.140625" style="264"/>
    <col min="8461" max="8461" width="13.85546875" style="264" customWidth="1"/>
    <col min="8462" max="8462" width="13.140625" style="264" customWidth="1"/>
    <col min="8463" max="8463" width="5.7109375" style="264" customWidth="1"/>
    <col min="8464" max="8464" width="1.28515625" style="264" customWidth="1"/>
    <col min="8465" max="8705" width="9.140625" style="264"/>
    <col min="8706" max="8706" width="48.85546875" style="264" customWidth="1"/>
    <col min="8707" max="8707" width="21.42578125" style="264" customWidth="1"/>
    <col min="8708" max="8708" width="19.85546875" style="264" customWidth="1"/>
    <col min="8709" max="8709" width="14.85546875" style="264" customWidth="1"/>
    <col min="8710" max="8710" width="15.28515625" style="264" customWidth="1"/>
    <col min="8711" max="8711" width="22.42578125" style="264" customWidth="1"/>
    <col min="8712" max="8712" width="21.28515625" style="264" customWidth="1"/>
    <col min="8713" max="8713" width="13.140625" style="264" customWidth="1"/>
    <col min="8714" max="8714" width="17" style="264" customWidth="1"/>
    <col min="8715" max="8716" width="9.140625" style="264"/>
    <col min="8717" max="8717" width="13.85546875" style="264" customWidth="1"/>
    <col min="8718" max="8718" width="13.140625" style="264" customWidth="1"/>
    <col min="8719" max="8719" width="5.7109375" style="264" customWidth="1"/>
    <col min="8720" max="8720" width="1.28515625" style="264" customWidth="1"/>
    <col min="8721" max="8961" width="9.140625" style="264"/>
    <col min="8962" max="8962" width="48.85546875" style="264" customWidth="1"/>
    <col min="8963" max="8963" width="21.42578125" style="264" customWidth="1"/>
    <col min="8964" max="8964" width="19.85546875" style="264" customWidth="1"/>
    <col min="8965" max="8965" width="14.85546875" style="264" customWidth="1"/>
    <col min="8966" max="8966" width="15.28515625" style="264" customWidth="1"/>
    <col min="8967" max="8967" width="22.42578125" style="264" customWidth="1"/>
    <col min="8968" max="8968" width="21.28515625" style="264" customWidth="1"/>
    <col min="8969" max="8969" width="13.140625" style="264" customWidth="1"/>
    <col min="8970" max="8970" width="17" style="264" customWidth="1"/>
    <col min="8971" max="8972" width="9.140625" style="264"/>
    <col min="8973" max="8973" width="13.85546875" style="264" customWidth="1"/>
    <col min="8974" max="8974" width="13.140625" style="264" customWidth="1"/>
    <col min="8975" max="8975" width="5.7109375" style="264" customWidth="1"/>
    <col min="8976" max="8976" width="1.28515625" style="264" customWidth="1"/>
    <col min="8977" max="9217" width="9.140625" style="264"/>
    <col min="9218" max="9218" width="48.85546875" style="264" customWidth="1"/>
    <col min="9219" max="9219" width="21.42578125" style="264" customWidth="1"/>
    <col min="9220" max="9220" width="19.85546875" style="264" customWidth="1"/>
    <col min="9221" max="9221" width="14.85546875" style="264" customWidth="1"/>
    <col min="9222" max="9222" width="15.28515625" style="264" customWidth="1"/>
    <col min="9223" max="9223" width="22.42578125" style="264" customWidth="1"/>
    <col min="9224" max="9224" width="21.28515625" style="264" customWidth="1"/>
    <col min="9225" max="9225" width="13.140625" style="264" customWidth="1"/>
    <col min="9226" max="9226" width="17" style="264" customWidth="1"/>
    <col min="9227" max="9228" width="9.140625" style="264"/>
    <col min="9229" max="9229" width="13.85546875" style="264" customWidth="1"/>
    <col min="9230" max="9230" width="13.140625" style="264" customWidth="1"/>
    <col min="9231" max="9231" width="5.7109375" style="264" customWidth="1"/>
    <col min="9232" max="9232" width="1.28515625" style="264" customWidth="1"/>
    <col min="9233" max="9473" width="9.140625" style="264"/>
    <col min="9474" max="9474" width="48.85546875" style="264" customWidth="1"/>
    <col min="9475" max="9475" width="21.42578125" style="264" customWidth="1"/>
    <col min="9476" max="9476" width="19.85546875" style="264" customWidth="1"/>
    <col min="9477" max="9477" width="14.85546875" style="264" customWidth="1"/>
    <col min="9478" max="9478" width="15.28515625" style="264" customWidth="1"/>
    <col min="9479" max="9479" width="22.42578125" style="264" customWidth="1"/>
    <col min="9480" max="9480" width="21.28515625" style="264" customWidth="1"/>
    <col min="9481" max="9481" width="13.140625" style="264" customWidth="1"/>
    <col min="9482" max="9482" width="17" style="264" customWidth="1"/>
    <col min="9483" max="9484" width="9.140625" style="264"/>
    <col min="9485" max="9485" width="13.85546875" style="264" customWidth="1"/>
    <col min="9486" max="9486" width="13.140625" style="264" customWidth="1"/>
    <col min="9487" max="9487" width="5.7109375" style="264" customWidth="1"/>
    <col min="9488" max="9488" width="1.28515625" style="264" customWidth="1"/>
    <col min="9489" max="9729" width="9.140625" style="264"/>
    <col min="9730" max="9730" width="48.85546875" style="264" customWidth="1"/>
    <col min="9731" max="9731" width="21.42578125" style="264" customWidth="1"/>
    <col min="9732" max="9732" width="19.85546875" style="264" customWidth="1"/>
    <col min="9733" max="9733" width="14.85546875" style="264" customWidth="1"/>
    <col min="9734" max="9734" width="15.28515625" style="264" customWidth="1"/>
    <col min="9735" max="9735" width="22.42578125" style="264" customWidth="1"/>
    <col min="9736" max="9736" width="21.28515625" style="264" customWidth="1"/>
    <col min="9737" max="9737" width="13.140625" style="264" customWidth="1"/>
    <col min="9738" max="9738" width="17" style="264" customWidth="1"/>
    <col min="9739" max="9740" width="9.140625" style="264"/>
    <col min="9741" max="9741" width="13.85546875" style="264" customWidth="1"/>
    <col min="9742" max="9742" width="13.140625" style="264" customWidth="1"/>
    <col min="9743" max="9743" width="5.7109375" style="264" customWidth="1"/>
    <col min="9744" max="9744" width="1.28515625" style="264" customWidth="1"/>
    <col min="9745" max="9985" width="9.140625" style="264"/>
    <col min="9986" max="9986" width="48.85546875" style="264" customWidth="1"/>
    <col min="9987" max="9987" width="21.42578125" style="264" customWidth="1"/>
    <col min="9988" max="9988" width="19.85546875" style="264" customWidth="1"/>
    <col min="9989" max="9989" width="14.85546875" style="264" customWidth="1"/>
    <col min="9990" max="9990" width="15.28515625" style="264" customWidth="1"/>
    <col min="9991" max="9991" width="22.42578125" style="264" customWidth="1"/>
    <col min="9992" max="9992" width="21.28515625" style="264" customWidth="1"/>
    <col min="9993" max="9993" width="13.140625" style="264" customWidth="1"/>
    <col min="9994" max="9994" width="17" style="264" customWidth="1"/>
    <col min="9995" max="9996" width="9.140625" style="264"/>
    <col min="9997" max="9997" width="13.85546875" style="264" customWidth="1"/>
    <col min="9998" max="9998" width="13.140625" style="264" customWidth="1"/>
    <col min="9999" max="9999" width="5.7109375" style="264" customWidth="1"/>
    <col min="10000" max="10000" width="1.28515625" style="264" customWidth="1"/>
    <col min="10001" max="10241" width="9.140625" style="264"/>
    <col min="10242" max="10242" width="48.85546875" style="264" customWidth="1"/>
    <col min="10243" max="10243" width="21.42578125" style="264" customWidth="1"/>
    <col min="10244" max="10244" width="19.85546875" style="264" customWidth="1"/>
    <col min="10245" max="10245" width="14.85546875" style="264" customWidth="1"/>
    <col min="10246" max="10246" width="15.28515625" style="264" customWidth="1"/>
    <col min="10247" max="10247" width="22.42578125" style="264" customWidth="1"/>
    <col min="10248" max="10248" width="21.28515625" style="264" customWidth="1"/>
    <col min="10249" max="10249" width="13.140625" style="264" customWidth="1"/>
    <col min="10250" max="10250" width="17" style="264" customWidth="1"/>
    <col min="10251" max="10252" width="9.140625" style="264"/>
    <col min="10253" max="10253" width="13.85546875" style="264" customWidth="1"/>
    <col min="10254" max="10254" width="13.140625" style="264" customWidth="1"/>
    <col min="10255" max="10255" width="5.7109375" style="264" customWidth="1"/>
    <col min="10256" max="10256" width="1.28515625" style="264" customWidth="1"/>
    <col min="10257" max="10497" width="9.140625" style="264"/>
    <col min="10498" max="10498" width="48.85546875" style="264" customWidth="1"/>
    <col min="10499" max="10499" width="21.42578125" style="264" customWidth="1"/>
    <col min="10500" max="10500" width="19.85546875" style="264" customWidth="1"/>
    <col min="10501" max="10501" width="14.85546875" style="264" customWidth="1"/>
    <col min="10502" max="10502" width="15.28515625" style="264" customWidth="1"/>
    <col min="10503" max="10503" width="22.42578125" style="264" customWidth="1"/>
    <col min="10504" max="10504" width="21.28515625" style="264" customWidth="1"/>
    <col min="10505" max="10505" width="13.140625" style="264" customWidth="1"/>
    <col min="10506" max="10506" width="17" style="264" customWidth="1"/>
    <col min="10507" max="10508" width="9.140625" style="264"/>
    <col min="10509" max="10509" width="13.85546875" style="264" customWidth="1"/>
    <col min="10510" max="10510" width="13.140625" style="264" customWidth="1"/>
    <col min="10511" max="10511" width="5.7109375" style="264" customWidth="1"/>
    <col min="10512" max="10512" width="1.28515625" style="264" customWidth="1"/>
    <col min="10513" max="10753" width="9.140625" style="264"/>
    <col min="10754" max="10754" width="48.85546875" style="264" customWidth="1"/>
    <col min="10755" max="10755" width="21.42578125" style="264" customWidth="1"/>
    <col min="10756" max="10756" width="19.85546875" style="264" customWidth="1"/>
    <col min="10757" max="10757" width="14.85546875" style="264" customWidth="1"/>
    <col min="10758" max="10758" width="15.28515625" style="264" customWidth="1"/>
    <col min="10759" max="10759" width="22.42578125" style="264" customWidth="1"/>
    <col min="10760" max="10760" width="21.28515625" style="264" customWidth="1"/>
    <col min="10761" max="10761" width="13.140625" style="264" customWidth="1"/>
    <col min="10762" max="10762" width="17" style="264" customWidth="1"/>
    <col min="10763" max="10764" width="9.140625" style="264"/>
    <col min="10765" max="10765" width="13.85546875" style="264" customWidth="1"/>
    <col min="10766" max="10766" width="13.140625" style="264" customWidth="1"/>
    <col min="10767" max="10767" width="5.7109375" style="264" customWidth="1"/>
    <col min="10768" max="10768" width="1.28515625" style="264" customWidth="1"/>
    <col min="10769" max="11009" width="9.140625" style="264"/>
    <col min="11010" max="11010" width="48.85546875" style="264" customWidth="1"/>
    <col min="11011" max="11011" width="21.42578125" style="264" customWidth="1"/>
    <col min="11012" max="11012" width="19.85546875" style="264" customWidth="1"/>
    <col min="11013" max="11013" width="14.85546875" style="264" customWidth="1"/>
    <col min="11014" max="11014" width="15.28515625" style="264" customWidth="1"/>
    <col min="11015" max="11015" width="22.42578125" style="264" customWidth="1"/>
    <col min="11016" max="11016" width="21.28515625" style="264" customWidth="1"/>
    <col min="11017" max="11017" width="13.140625" style="264" customWidth="1"/>
    <col min="11018" max="11018" width="17" style="264" customWidth="1"/>
    <col min="11019" max="11020" width="9.140625" style="264"/>
    <col min="11021" max="11021" width="13.85546875" style="264" customWidth="1"/>
    <col min="11022" max="11022" width="13.140625" style="264" customWidth="1"/>
    <col min="11023" max="11023" width="5.7109375" style="264" customWidth="1"/>
    <col min="11024" max="11024" width="1.28515625" style="264" customWidth="1"/>
    <col min="11025" max="11265" width="9.140625" style="264"/>
    <col min="11266" max="11266" width="48.85546875" style="264" customWidth="1"/>
    <col min="11267" max="11267" width="21.42578125" style="264" customWidth="1"/>
    <col min="11268" max="11268" width="19.85546875" style="264" customWidth="1"/>
    <col min="11269" max="11269" width="14.85546875" style="264" customWidth="1"/>
    <col min="11270" max="11270" width="15.28515625" style="264" customWidth="1"/>
    <col min="11271" max="11271" width="22.42578125" style="264" customWidth="1"/>
    <col min="11272" max="11272" width="21.28515625" style="264" customWidth="1"/>
    <col min="11273" max="11273" width="13.140625" style="264" customWidth="1"/>
    <col min="11274" max="11274" width="17" style="264" customWidth="1"/>
    <col min="11275" max="11276" width="9.140625" style="264"/>
    <col min="11277" max="11277" width="13.85546875" style="264" customWidth="1"/>
    <col min="11278" max="11278" width="13.140625" style="264" customWidth="1"/>
    <col min="11279" max="11279" width="5.7109375" style="264" customWidth="1"/>
    <col min="11280" max="11280" width="1.28515625" style="264" customWidth="1"/>
    <col min="11281" max="11521" width="9.140625" style="264"/>
    <col min="11522" max="11522" width="48.85546875" style="264" customWidth="1"/>
    <col min="11523" max="11523" width="21.42578125" style="264" customWidth="1"/>
    <col min="11524" max="11524" width="19.85546875" style="264" customWidth="1"/>
    <col min="11525" max="11525" width="14.85546875" style="264" customWidth="1"/>
    <col min="11526" max="11526" width="15.28515625" style="264" customWidth="1"/>
    <col min="11527" max="11527" width="22.42578125" style="264" customWidth="1"/>
    <col min="11528" max="11528" width="21.28515625" style="264" customWidth="1"/>
    <col min="11529" max="11529" width="13.140625" style="264" customWidth="1"/>
    <col min="11530" max="11530" width="17" style="264" customWidth="1"/>
    <col min="11531" max="11532" width="9.140625" style="264"/>
    <col min="11533" max="11533" width="13.85546875" style="264" customWidth="1"/>
    <col min="11534" max="11534" width="13.140625" style="264" customWidth="1"/>
    <col min="11535" max="11535" width="5.7109375" style="264" customWidth="1"/>
    <col min="11536" max="11536" width="1.28515625" style="264" customWidth="1"/>
    <col min="11537" max="11777" width="9.140625" style="264"/>
    <col min="11778" max="11778" width="48.85546875" style="264" customWidth="1"/>
    <col min="11779" max="11779" width="21.42578125" style="264" customWidth="1"/>
    <col min="11780" max="11780" width="19.85546875" style="264" customWidth="1"/>
    <col min="11781" max="11781" width="14.85546875" style="264" customWidth="1"/>
    <col min="11782" max="11782" width="15.28515625" style="264" customWidth="1"/>
    <col min="11783" max="11783" width="22.42578125" style="264" customWidth="1"/>
    <col min="11784" max="11784" width="21.28515625" style="264" customWidth="1"/>
    <col min="11785" max="11785" width="13.140625" style="264" customWidth="1"/>
    <col min="11786" max="11786" width="17" style="264" customWidth="1"/>
    <col min="11787" max="11788" width="9.140625" style="264"/>
    <col min="11789" max="11789" width="13.85546875" style="264" customWidth="1"/>
    <col min="11790" max="11790" width="13.140625" style="264" customWidth="1"/>
    <col min="11791" max="11791" width="5.7109375" style="264" customWidth="1"/>
    <col min="11792" max="11792" width="1.28515625" style="264" customWidth="1"/>
    <col min="11793" max="12033" width="9.140625" style="264"/>
    <col min="12034" max="12034" width="48.85546875" style="264" customWidth="1"/>
    <col min="12035" max="12035" width="21.42578125" style="264" customWidth="1"/>
    <col min="12036" max="12036" width="19.85546875" style="264" customWidth="1"/>
    <col min="12037" max="12037" width="14.85546875" style="264" customWidth="1"/>
    <col min="12038" max="12038" width="15.28515625" style="264" customWidth="1"/>
    <col min="12039" max="12039" width="22.42578125" style="264" customWidth="1"/>
    <col min="12040" max="12040" width="21.28515625" style="264" customWidth="1"/>
    <col min="12041" max="12041" width="13.140625" style="264" customWidth="1"/>
    <col min="12042" max="12042" width="17" style="264" customWidth="1"/>
    <col min="12043" max="12044" width="9.140625" style="264"/>
    <col min="12045" max="12045" width="13.85546875" style="264" customWidth="1"/>
    <col min="12046" max="12046" width="13.140625" style="264" customWidth="1"/>
    <col min="12047" max="12047" width="5.7109375" style="264" customWidth="1"/>
    <col min="12048" max="12048" width="1.28515625" style="264" customWidth="1"/>
    <col min="12049" max="12289" width="9.140625" style="264"/>
    <col min="12290" max="12290" width="48.85546875" style="264" customWidth="1"/>
    <col min="12291" max="12291" width="21.42578125" style="264" customWidth="1"/>
    <col min="12292" max="12292" width="19.85546875" style="264" customWidth="1"/>
    <col min="12293" max="12293" width="14.85546875" style="264" customWidth="1"/>
    <col min="12294" max="12294" width="15.28515625" style="264" customWidth="1"/>
    <col min="12295" max="12295" width="22.42578125" style="264" customWidth="1"/>
    <col min="12296" max="12296" width="21.28515625" style="264" customWidth="1"/>
    <col min="12297" max="12297" width="13.140625" style="264" customWidth="1"/>
    <col min="12298" max="12298" width="17" style="264" customWidth="1"/>
    <col min="12299" max="12300" width="9.140625" style="264"/>
    <col min="12301" max="12301" width="13.85546875" style="264" customWidth="1"/>
    <col min="12302" max="12302" width="13.140625" style="264" customWidth="1"/>
    <col min="12303" max="12303" width="5.7109375" style="264" customWidth="1"/>
    <col min="12304" max="12304" width="1.28515625" style="264" customWidth="1"/>
    <col min="12305" max="12545" width="9.140625" style="264"/>
    <col min="12546" max="12546" width="48.85546875" style="264" customWidth="1"/>
    <col min="12547" max="12547" width="21.42578125" style="264" customWidth="1"/>
    <col min="12548" max="12548" width="19.85546875" style="264" customWidth="1"/>
    <col min="12549" max="12549" width="14.85546875" style="264" customWidth="1"/>
    <col min="12550" max="12550" width="15.28515625" style="264" customWidth="1"/>
    <col min="12551" max="12551" width="22.42578125" style="264" customWidth="1"/>
    <col min="12552" max="12552" width="21.28515625" style="264" customWidth="1"/>
    <col min="12553" max="12553" width="13.140625" style="264" customWidth="1"/>
    <col min="12554" max="12554" width="17" style="264" customWidth="1"/>
    <col min="12555" max="12556" width="9.140625" style="264"/>
    <col min="12557" max="12557" width="13.85546875" style="264" customWidth="1"/>
    <col min="12558" max="12558" width="13.140625" style="264" customWidth="1"/>
    <col min="12559" max="12559" width="5.7109375" style="264" customWidth="1"/>
    <col min="12560" max="12560" width="1.28515625" style="264" customWidth="1"/>
    <col min="12561" max="12801" width="9.140625" style="264"/>
    <col min="12802" max="12802" width="48.85546875" style="264" customWidth="1"/>
    <col min="12803" max="12803" width="21.42578125" style="264" customWidth="1"/>
    <col min="12804" max="12804" width="19.85546875" style="264" customWidth="1"/>
    <col min="12805" max="12805" width="14.85546875" style="264" customWidth="1"/>
    <col min="12806" max="12806" width="15.28515625" style="264" customWidth="1"/>
    <col min="12807" max="12807" width="22.42578125" style="264" customWidth="1"/>
    <col min="12808" max="12808" width="21.28515625" style="264" customWidth="1"/>
    <col min="12809" max="12809" width="13.140625" style="264" customWidth="1"/>
    <col min="12810" max="12810" width="17" style="264" customWidth="1"/>
    <col min="12811" max="12812" width="9.140625" style="264"/>
    <col min="12813" max="12813" width="13.85546875" style="264" customWidth="1"/>
    <col min="12814" max="12814" width="13.140625" style="264" customWidth="1"/>
    <col min="12815" max="12815" width="5.7109375" style="264" customWidth="1"/>
    <col min="12816" max="12816" width="1.28515625" style="264" customWidth="1"/>
    <col min="12817" max="13057" width="9.140625" style="264"/>
    <col min="13058" max="13058" width="48.85546875" style="264" customWidth="1"/>
    <col min="13059" max="13059" width="21.42578125" style="264" customWidth="1"/>
    <col min="13060" max="13060" width="19.85546875" style="264" customWidth="1"/>
    <col min="13061" max="13061" width="14.85546875" style="264" customWidth="1"/>
    <col min="13062" max="13062" width="15.28515625" style="264" customWidth="1"/>
    <col min="13063" max="13063" width="22.42578125" style="264" customWidth="1"/>
    <col min="13064" max="13064" width="21.28515625" style="264" customWidth="1"/>
    <col min="13065" max="13065" width="13.140625" style="264" customWidth="1"/>
    <col min="13066" max="13066" width="17" style="264" customWidth="1"/>
    <col min="13067" max="13068" width="9.140625" style="264"/>
    <col min="13069" max="13069" width="13.85546875" style="264" customWidth="1"/>
    <col min="13070" max="13070" width="13.140625" style="264" customWidth="1"/>
    <col min="13071" max="13071" width="5.7109375" style="264" customWidth="1"/>
    <col min="13072" max="13072" width="1.28515625" style="264" customWidth="1"/>
    <col min="13073" max="13313" width="9.140625" style="264"/>
    <col min="13314" max="13314" width="48.85546875" style="264" customWidth="1"/>
    <col min="13315" max="13315" width="21.42578125" style="264" customWidth="1"/>
    <col min="13316" max="13316" width="19.85546875" style="264" customWidth="1"/>
    <col min="13317" max="13317" width="14.85546875" style="264" customWidth="1"/>
    <col min="13318" max="13318" width="15.28515625" style="264" customWidth="1"/>
    <col min="13319" max="13319" width="22.42578125" style="264" customWidth="1"/>
    <col min="13320" max="13320" width="21.28515625" style="264" customWidth="1"/>
    <col min="13321" max="13321" width="13.140625" style="264" customWidth="1"/>
    <col min="13322" max="13322" width="17" style="264" customWidth="1"/>
    <col min="13323" max="13324" width="9.140625" style="264"/>
    <col min="13325" max="13325" width="13.85546875" style="264" customWidth="1"/>
    <col min="13326" max="13326" width="13.140625" style="264" customWidth="1"/>
    <col min="13327" max="13327" width="5.7109375" style="264" customWidth="1"/>
    <col min="13328" max="13328" width="1.28515625" style="264" customWidth="1"/>
    <col min="13329" max="13569" width="9.140625" style="264"/>
    <col min="13570" max="13570" width="48.85546875" style="264" customWidth="1"/>
    <col min="13571" max="13571" width="21.42578125" style="264" customWidth="1"/>
    <col min="13572" max="13572" width="19.85546875" style="264" customWidth="1"/>
    <col min="13573" max="13573" width="14.85546875" style="264" customWidth="1"/>
    <col min="13574" max="13574" width="15.28515625" style="264" customWidth="1"/>
    <col min="13575" max="13575" width="22.42578125" style="264" customWidth="1"/>
    <col min="13576" max="13576" width="21.28515625" style="264" customWidth="1"/>
    <col min="13577" max="13577" width="13.140625" style="264" customWidth="1"/>
    <col min="13578" max="13578" width="17" style="264" customWidth="1"/>
    <col min="13579" max="13580" width="9.140625" style="264"/>
    <col min="13581" max="13581" width="13.85546875" style="264" customWidth="1"/>
    <col min="13582" max="13582" width="13.140625" style="264" customWidth="1"/>
    <col min="13583" max="13583" width="5.7109375" style="264" customWidth="1"/>
    <col min="13584" max="13584" width="1.28515625" style="264" customWidth="1"/>
    <col min="13585" max="13825" width="9.140625" style="264"/>
    <col min="13826" max="13826" width="48.85546875" style="264" customWidth="1"/>
    <col min="13827" max="13827" width="21.42578125" style="264" customWidth="1"/>
    <col min="13828" max="13828" width="19.85546875" style="264" customWidth="1"/>
    <col min="13829" max="13829" width="14.85546875" style="264" customWidth="1"/>
    <col min="13830" max="13830" width="15.28515625" style="264" customWidth="1"/>
    <col min="13831" max="13831" width="22.42578125" style="264" customWidth="1"/>
    <col min="13832" max="13832" width="21.28515625" style="264" customWidth="1"/>
    <col min="13833" max="13833" width="13.140625" style="264" customWidth="1"/>
    <col min="13834" max="13834" width="17" style="264" customWidth="1"/>
    <col min="13835" max="13836" width="9.140625" style="264"/>
    <col min="13837" max="13837" width="13.85546875" style="264" customWidth="1"/>
    <col min="13838" max="13838" width="13.140625" style="264" customWidth="1"/>
    <col min="13839" max="13839" width="5.7109375" style="264" customWidth="1"/>
    <col min="13840" max="13840" width="1.28515625" style="264" customWidth="1"/>
    <col min="13841" max="14081" width="9.140625" style="264"/>
    <col min="14082" max="14082" width="48.85546875" style="264" customWidth="1"/>
    <col min="14083" max="14083" width="21.42578125" style="264" customWidth="1"/>
    <col min="14084" max="14084" width="19.85546875" style="264" customWidth="1"/>
    <col min="14085" max="14085" width="14.85546875" style="264" customWidth="1"/>
    <col min="14086" max="14086" width="15.28515625" style="264" customWidth="1"/>
    <col min="14087" max="14087" width="22.42578125" style="264" customWidth="1"/>
    <col min="14088" max="14088" width="21.28515625" style="264" customWidth="1"/>
    <col min="14089" max="14089" width="13.140625" style="264" customWidth="1"/>
    <col min="14090" max="14090" width="17" style="264" customWidth="1"/>
    <col min="14091" max="14092" width="9.140625" style="264"/>
    <col min="14093" max="14093" width="13.85546875" style="264" customWidth="1"/>
    <col min="14094" max="14094" width="13.140625" style="264" customWidth="1"/>
    <col min="14095" max="14095" width="5.7109375" style="264" customWidth="1"/>
    <col min="14096" max="14096" width="1.28515625" style="264" customWidth="1"/>
    <col min="14097" max="14337" width="9.140625" style="264"/>
    <col min="14338" max="14338" width="48.85546875" style="264" customWidth="1"/>
    <col min="14339" max="14339" width="21.42578125" style="264" customWidth="1"/>
    <col min="14340" max="14340" width="19.85546875" style="264" customWidth="1"/>
    <col min="14341" max="14341" width="14.85546875" style="264" customWidth="1"/>
    <col min="14342" max="14342" width="15.28515625" style="264" customWidth="1"/>
    <col min="14343" max="14343" width="22.42578125" style="264" customWidth="1"/>
    <col min="14344" max="14344" width="21.28515625" style="264" customWidth="1"/>
    <col min="14345" max="14345" width="13.140625" style="264" customWidth="1"/>
    <col min="14346" max="14346" width="17" style="264" customWidth="1"/>
    <col min="14347" max="14348" width="9.140625" style="264"/>
    <col min="14349" max="14349" width="13.85546875" style="264" customWidth="1"/>
    <col min="14350" max="14350" width="13.140625" style="264" customWidth="1"/>
    <col min="14351" max="14351" width="5.7109375" style="264" customWidth="1"/>
    <col min="14352" max="14352" width="1.28515625" style="264" customWidth="1"/>
    <col min="14353" max="14593" width="9.140625" style="264"/>
    <col min="14594" max="14594" width="48.85546875" style="264" customWidth="1"/>
    <col min="14595" max="14595" width="21.42578125" style="264" customWidth="1"/>
    <col min="14596" max="14596" width="19.85546875" style="264" customWidth="1"/>
    <col min="14597" max="14597" width="14.85546875" style="264" customWidth="1"/>
    <col min="14598" max="14598" width="15.28515625" style="264" customWidth="1"/>
    <col min="14599" max="14599" width="22.42578125" style="264" customWidth="1"/>
    <col min="14600" max="14600" width="21.28515625" style="264" customWidth="1"/>
    <col min="14601" max="14601" width="13.140625" style="264" customWidth="1"/>
    <col min="14602" max="14602" width="17" style="264" customWidth="1"/>
    <col min="14603" max="14604" width="9.140625" style="264"/>
    <col min="14605" max="14605" width="13.85546875" style="264" customWidth="1"/>
    <col min="14606" max="14606" width="13.140625" style="264" customWidth="1"/>
    <col min="14607" max="14607" width="5.7109375" style="264" customWidth="1"/>
    <col min="14608" max="14608" width="1.28515625" style="264" customWidth="1"/>
    <col min="14609" max="14849" width="9.140625" style="264"/>
    <col min="14850" max="14850" width="48.85546875" style="264" customWidth="1"/>
    <col min="14851" max="14851" width="21.42578125" style="264" customWidth="1"/>
    <col min="14852" max="14852" width="19.85546875" style="264" customWidth="1"/>
    <col min="14853" max="14853" width="14.85546875" style="264" customWidth="1"/>
    <col min="14854" max="14854" width="15.28515625" style="264" customWidth="1"/>
    <col min="14855" max="14855" width="22.42578125" style="264" customWidth="1"/>
    <col min="14856" max="14856" width="21.28515625" style="264" customWidth="1"/>
    <col min="14857" max="14857" width="13.140625" style="264" customWidth="1"/>
    <col min="14858" max="14858" width="17" style="264" customWidth="1"/>
    <col min="14859" max="14860" width="9.140625" style="264"/>
    <col min="14861" max="14861" width="13.85546875" style="264" customWidth="1"/>
    <col min="14862" max="14862" width="13.140625" style="264" customWidth="1"/>
    <col min="14863" max="14863" width="5.7109375" style="264" customWidth="1"/>
    <col min="14864" max="14864" width="1.28515625" style="264" customWidth="1"/>
    <col min="14865" max="15105" width="9.140625" style="264"/>
    <col min="15106" max="15106" width="48.85546875" style="264" customWidth="1"/>
    <col min="15107" max="15107" width="21.42578125" style="264" customWidth="1"/>
    <col min="15108" max="15108" width="19.85546875" style="264" customWidth="1"/>
    <col min="15109" max="15109" width="14.85546875" style="264" customWidth="1"/>
    <col min="15110" max="15110" width="15.28515625" style="264" customWidth="1"/>
    <col min="15111" max="15111" width="22.42578125" style="264" customWidth="1"/>
    <col min="15112" max="15112" width="21.28515625" style="264" customWidth="1"/>
    <col min="15113" max="15113" width="13.140625" style="264" customWidth="1"/>
    <col min="15114" max="15114" width="17" style="264" customWidth="1"/>
    <col min="15115" max="15116" width="9.140625" style="264"/>
    <col min="15117" max="15117" width="13.85546875" style="264" customWidth="1"/>
    <col min="15118" max="15118" width="13.140625" style="264" customWidth="1"/>
    <col min="15119" max="15119" width="5.7109375" style="264" customWidth="1"/>
    <col min="15120" max="15120" width="1.28515625" style="264" customWidth="1"/>
    <col min="15121" max="15361" width="9.140625" style="264"/>
    <col min="15362" max="15362" width="48.85546875" style="264" customWidth="1"/>
    <col min="15363" max="15363" width="21.42578125" style="264" customWidth="1"/>
    <col min="15364" max="15364" width="19.85546875" style="264" customWidth="1"/>
    <col min="15365" max="15365" width="14.85546875" style="264" customWidth="1"/>
    <col min="15366" max="15366" width="15.28515625" style="264" customWidth="1"/>
    <col min="15367" max="15367" width="22.42578125" style="264" customWidth="1"/>
    <col min="15368" max="15368" width="21.28515625" style="264" customWidth="1"/>
    <col min="15369" max="15369" width="13.140625" style="264" customWidth="1"/>
    <col min="15370" max="15370" width="17" style="264" customWidth="1"/>
    <col min="15371" max="15372" width="9.140625" style="264"/>
    <col min="15373" max="15373" width="13.85546875" style="264" customWidth="1"/>
    <col min="15374" max="15374" width="13.140625" style="264" customWidth="1"/>
    <col min="15375" max="15375" width="5.7109375" style="264" customWidth="1"/>
    <col min="15376" max="15376" width="1.28515625" style="264" customWidth="1"/>
    <col min="15377" max="15617" width="9.140625" style="264"/>
    <col min="15618" max="15618" width="48.85546875" style="264" customWidth="1"/>
    <col min="15619" max="15619" width="21.42578125" style="264" customWidth="1"/>
    <col min="15620" max="15620" width="19.85546875" style="264" customWidth="1"/>
    <col min="15621" max="15621" width="14.85546875" style="264" customWidth="1"/>
    <col min="15622" max="15622" width="15.28515625" style="264" customWidth="1"/>
    <col min="15623" max="15623" width="22.42578125" style="264" customWidth="1"/>
    <col min="15624" max="15624" width="21.28515625" style="264" customWidth="1"/>
    <col min="15625" max="15625" width="13.140625" style="264" customWidth="1"/>
    <col min="15626" max="15626" width="17" style="264" customWidth="1"/>
    <col min="15627" max="15628" width="9.140625" style="264"/>
    <col min="15629" max="15629" width="13.85546875" style="264" customWidth="1"/>
    <col min="15630" max="15630" width="13.140625" style="264" customWidth="1"/>
    <col min="15631" max="15631" width="5.7109375" style="264" customWidth="1"/>
    <col min="15632" max="15632" width="1.28515625" style="264" customWidth="1"/>
    <col min="15633" max="15873" width="9.140625" style="264"/>
    <col min="15874" max="15874" width="48.85546875" style="264" customWidth="1"/>
    <col min="15875" max="15875" width="21.42578125" style="264" customWidth="1"/>
    <col min="15876" max="15876" width="19.85546875" style="264" customWidth="1"/>
    <col min="15877" max="15877" width="14.85546875" style="264" customWidth="1"/>
    <col min="15878" max="15878" width="15.28515625" style="264" customWidth="1"/>
    <col min="15879" max="15879" width="22.42578125" style="264" customWidth="1"/>
    <col min="15880" max="15880" width="21.28515625" style="264" customWidth="1"/>
    <col min="15881" max="15881" width="13.140625" style="264" customWidth="1"/>
    <col min="15882" max="15882" width="17" style="264" customWidth="1"/>
    <col min="15883" max="15884" width="9.140625" style="264"/>
    <col min="15885" max="15885" width="13.85546875" style="264" customWidth="1"/>
    <col min="15886" max="15886" width="13.140625" style="264" customWidth="1"/>
    <col min="15887" max="15887" width="5.7109375" style="264" customWidth="1"/>
    <col min="15888" max="15888" width="1.28515625" style="264" customWidth="1"/>
    <col min="15889" max="16129" width="9.140625" style="264"/>
    <col min="16130" max="16130" width="48.85546875" style="264" customWidth="1"/>
    <col min="16131" max="16131" width="21.42578125" style="264" customWidth="1"/>
    <col min="16132" max="16132" width="19.85546875" style="264" customWidth="1"/>
    <col min="16133" max="16133" width="14.85546875" style="264" customWidth="1"/>
    <col min="16134" max="16134" width="15.28515625" style="264" customWidth="1"/>
    <col min="16135" max="16135" width="22.42578125" style="264" customWidth="1"/>
    <col min="16136" max="16136" width="21.28515625" style="264" customWidth="1"/>
    <col min="16137" max="16137" width="13.140625" style="264" customWidth="1"/>
    <col min="16138" max="16138" width="17" style="264" customWidth="1"/>
    <col min="16139" max="16140" width="9.140625" style="264"/>
    <col min="16141" max="16141" width="13.85546875" style="264" customWidth="1"/>
    <col min="16142" max="16142" width="13.140625" style="264" customWidth="1"/>
    <col min="16143" max="16143" width="5.7109375" style="264" customWidth="1"/>
    <col min="16144" max="16144" width="1.28515625" style="264" customWidth="1"/>
    <col min="16145" max="16384" width="9.140625" style="264"/>
  </cols>
  <sheetData>
    <row r="1" spans="2:16" ht="33.75" customHeight="1">
      <c r="B1" s="1882" t="s">
        <v>1719</v>
      </c>
      <c r="C1" s="1882"/>
      <c r="D1" s="1882"/>
      <c r="E1" s="1882"/>
      <c r="F1" s="1882"/>
      <c r="G1" s="1882"/>
      <c r="H1" s="1882"/>
      <c r="I1" s="1882"/>
      <c r="J1" s="1882"/>
    </row>
    <row r="2" spans="2:16" ht="33.6" customHeight="1">
      <c r="B2" s="1052"/>
      <c r="C2" s="1051"/>
      <c r="D2" s="1051"/>
      <c r="E2" s="1051"/>
      <c r="F2" s="1051"/>
      <c r="G2" s="1051"/>
      <c r="H2" s="1051"/>
      <c r="I2" s="1051"/>
      <c r="J2" s="1051"/>
    </row>
    <row r="3" spans="2:16" ht="25.5" customHeight="1">
      <c r="B3" s="1006"/>
      <c r="C3" s="1883" t="s">
        <v>1981</v>
      </c>
      <c r="D3" s="1884"/>
      <c r="E3" s="1884"/>
      <c r="F3" s="1885"/>
      <c r="G3" s="1883" t="s">
        <v>1982</v>
      </c>
      <c r="H3" s="1884"/>
      <c r="I3" s="1884"/>
      <c r="J3" s="1885"/>
    </row>
    <row r="4" spans="2:16" ht="25.9" customHeight="1">
      <c r="B4" s="1007" t="s">
        <v>1720</v>
      </c>
      <c r="C4" s="1008"/>
      <c r="D4" s="1008"/>
      <c r="E4" s="1008"/>
      <c r="F4" s="1009"/>
      <c r="G4" s="1008"/>
      <c r="H4" s="1008"/>
      <c r="I4" s="1008"/>
      <c r="J4" s="1009"/>
      <c r="M4" s="1879"/>
      <c r="N4" s="1880"/>
      <c r="O4" s="1880"/>
      <c r="P4" s="1881"/>
    </row>
    <row r="5" spans="2:16" ht="33.75" customHeight="1">
      <c r="B5" s="323" t="s">
        <v>1721</v>
      </c>
      <c r="C5" s="486" t="s">
        <v>1722</v>
      </c>
      <c r="D5" s="486" t="s">
        <v>1723</v>
      </c>
      <c r="E5" s="1325" t="s">
        <v>1724</v>
      </c>
      <c r="F5" s="1010"/>
      <c r="G5" s="486" t="s">
        <v>1722</v>
      </c>
      <c r="H5" s="486" t="s">
        <v>1723</v>
      </c>
      <c r="I5" s="1326" t="s">
        <v>1724</v>
      </c>
      <c r="J5" s="1011"/>
    </row>
    <row r="6" spans="2:16" ht="24" customHeight="1">
      <c r="B6" s="325" t="s">
        <v>1725</v>
      </c>
      <c r="C6" s="486" t="s">
        <v>496</v>
      </c>
      <c r="D6" s="486" t="s">
        <v>496</v>
      </c>
      <c r="E6" s="487" t="s">
        <v>496</v>
      </c>
      <c r="F6" s="487" t="s">
        <v>1726</v>
      </c>
      <c r="G6" s="486" t="s">
        <v>496</v>
      </c>
      <c r="H6" s="486" t="s">
        <v>496</v>
      </c>
      <c r="I6" s="486" t="s">
        <v>496</v>
      </c>
      <c r="J6" s="487" t="s">
        <v>1726</v>
      </c>
      <c r="M6" s="265"/>
      <c r="N6" s="265"/>
    </row>
    <row r="7" spans="2:16" ht="27.6" customHeight="1">
      <c r="B7" s="328" t="s">
        <v>503</v>
      </c>
      <c r="C7" s="456">
        <v>167.16</v>
      </c>
      <c r="D7" s="455">
        <v>167.16</v>
      </c>
      <c r="E7" s="462">
        <v>0</v>
      </c>
      <c r="F7" s="463">
        <v>0</v>
      </c>
      <c r="G7" s="462">
        <v>160.51000000000002</v>
      </c>
      <c r="H7" s="462">
        <v>160.51000000000002</v>
      </c>
      <c r="I7" s="462">
        <v>0</v>
      </c>
      <c r="J7" s="463">
        <v>0</v>
      </c>
      <c r="M7" s="266"/>
      <c r="N7" s="266"/>
    </row>
    <row r="8" spans="2:16" ht="24" customHeight="1">
      <c r="B8" s="328" t="s">
        <v>487</v>
      </c>
      <c r="C8" s="462">
        <v>3287.4700000000003</v>
      </c>
      <c r="D8" s="460">
        <v>3286.55</v>
      </c>
      <c r="E8" s="462">
        <v>0.92000000000007276</v>
      </c>
      <c r="F8" s="463">
        <v>2.7985046251374848E-2</v>
      </c>
      <c r="G8" s="462">
        <v>3110.1200000000003</v>
      </c>
      <c r="H8" s="462">
        <v>3109.1800000000003</v>
      </c>
      <c r="I8" s="462">
        <v>0.94000000000005457</v>
      </c>
      <c r="J8" s="463">
        <v>3.0223914189807931E-2</v>
      </c>
      <c r="M8" s="458"/>
      <c r="N8" s="459"/>
    </row>
    <row r="9" spans="2:16" ht="24" customHeight="1">
      <c r="B9" s="328" t="s">
        <v>502</v>
      </c>
      <c r="C9" s="462">
        <v>5636.415</v>
      </c>
      <c r="D9" s="460">
        <v>5625.03</v>
      </c>
      <c r="E9" s="462">
        <v>11.385000000000218</v>
      </c>
      <c r="F9" s="463">
        <v>0.20199009476768864</v>
      </c>
      <c r="G9" s="462">
        <v>5158.43</v>
      </c>
      <c r="H9" s="462">
        <v>5158.43</v>
      </c>
      <c r="I9" s="462">
        <v>0</v>
      </c>
      <c r="J9" s="463">
        <v>0</v>
      </c>
      <c r="M9" s="464"/>
      <c r="N9" s="465"/>
    </row>
    <row r="10" spans="2:16" ht="24" customHeight="1">
      <c r="B10" s="329" t="s">
        <v>1636</v>
      </c>
      <c r="C10" s="462">
        <v>924.40899999999999</v>
      </c>
      <c r="D10" s="460">
        <v>923.8</v>
      </c>
      <c r="E10" s="462">
        <v>0.60900000000003729</v>
      </c>
      <c r="F10" s="463">
        <v>6.5879929771349835E-2</v>
      </c>
      <c r="G10" s="462">
        <v>808.39</v>
      </c>
      <c r="H10" s="462">
        <v>806.29</v>
      </c>
      <c r="I10" s="462">
        <v>2.1000000000000227</v>
      </c>
      <c r="J10" s="463">
        <v>0.25977560335976729</v>
      </c>
      <c r="M10" s="464"/>
      <c r="N10" s="465"/>
    </row>
    <row r="11" spans="2:16" ht="24" customHeight="1">
      <c r="B11" s="1049" t="s">
        <v>1727</v>
      </c>
      <c r="C11" s="462">
        <v>1603.79</v>
      </c>
      <c r="D11" s="460">
        <v>1500.29</v>
      </c>
      <c r="E11" s="462">
        <v>103.5</v>
      </c>
      <c r="F11" s="463">
        <v>6.4534633586691523</v>
      </c>
      <c r="G11" s="462">
        <v>1564.23</v>
      </c>
      <c r="H11" s="462">
        <v>1262.97</v>
      </c>
      <c r="I11" s="462">
        <v>301.26</v>
      </c>
      <c r="J11" s="463">
        <v>19.259316085230434</v>
      </c>
      <c r="M11" s="464"/>
      <c r="N11" s="465"/>
    </row>
    <row r="12" spans="2:16" ht="24" customHeight="1">
      <c r="B12" s="329" t="s">
        <v>492</v>
      </c>
      <c r="C12" s="462">
        <v>7071.09</v>
      </c>
      <c r="D12" s="460">
        <v>7031.33</v>
      </c>
      <c r="E12" s="462">
        <v>39.760000000000218</v>
      </c>
      <c r="F12" s="463">
        <v>0.56228954800462472</v>
      </c>
      <c r="G12" s="462">
        <v>6676.08</v>
      </c>
      <c r="H12" s="462">
        <v>6676.08</v>
      </c>
      <c r="I12" s="462">
        <v>0</v>
      </c>
      <c r="J12" s="463">
        <v>0</v>
      </c>
      <c r="M12" s="464"/>
      <c r="N12" s="465"/>
    </row>
    <row r="13" spans="2:16" ht="24" customHeight="1">
      <c r="B13" s="329" t="s">
        <v>489</v>
      </c>
      <c r="C13" s="462">
        <v>7320.55</v>
      </c>
      <c r="D13" s="460">
        <v>7299.6</v>
      </c>
      <c r="E13" s="462">
        <v>20.949999999999818</v>
      </c>
      <c r="F13" s="463">
        <v>0.28618068314538958</v>
      </c>
      <c r="G13" s="462">
        <v>7186.78</v>
      </c>
      <c r="H13" s="462">
        <v>7172.84</v>
      </c>
      <c r="I13" s="462">
        <v>13.9399999999996</v>
      </c>
      <c r="J13" s="463">
        <v>0.19396725654604149</v>
      </c>
      <c r="M13" s="464"/>
      <c r="N13" s="465"/>
    </row>
    <row r="14" spans="2:16" ht="24" customHeight="1">
      <c r="B14" s="329" t="s">
        <v>626</v>
      </c>
      <c r="C14" s="462">
        <v>12094.98</v>
      </c>
      <c r="D14" s="460">
        <v>11961.66</v>
      </c>
      <c r="E14" s="462">
        <v>133.31999999999971</v>
      </c>
      <c r="F14" s="463">
        <v>1.1022754895006004</v>
      </c>
      <c r="G14" s="462">
        <v>11864.840000000002</v>
      </c>
      <c r="H14" s="462">
        <v>11762.390000000001</v>
      </c>
      <c r="I14" s="462">
        <v>102.45000000000073</v>
      </c>
      <c r="J14" s="463">
        <v>0.8634756136618843</v>
      </c>
      <c r="M14" s="464"/>
      <c r="N14" s="465"/>
    </row>
    <row r="15" spans="2:16" ht="24" customHeight="1">
      <c r="B15" s="329" t="s">
        <v>632</v>
      </c>
      <c r="C15" s="462">
        <v>1219.1030000000001</v>
      </c>
      <c r="D15" s="462">
        <v>1217.6590000000001</v>
      </c>
      <c r="E15" s="462">
        <v>1.44399999999996</v>
      </c>
      <c r="F15" s="463">
        <v>0.11844774395600371</v>
      </c>
      <c r="G15" s="462">
        <v>1252.1799999999998</v>
      </c>
      <c r="H15" s="462">
        <v>1252.1799999999998</v>
      </c>
      <c r="I15" s="462">
        <v>0</v>
      </c>
      <c r="J15" s="463">
        <v>0</v>
      </c>
      <c r="M15" s="464"/>
      <c r="N15" s="465"/>
    </row>
    <row r="16" spans="2:16" ht="24" customHeight="1" thickBot="1">
      <c r="B16" s="449" t="s">
        <v>1671</v>
      </c>
      <c r="C16" s="489">
        <v>39324.967000000004</v>
      </c>
      <c r="D16" s="489">
        <v>39013.078999999998</v>
      </c>
      <c r="E16" s="468">
        <v>311.88800000000629</v>
      </c>
      <c r="F16" s="469">
        <v>0.79310428919115494</v>
      </c>
      <c r="G16" s="468">
        <v>37781.560000000005</v>
      </c>
      <c r="H16" s="470">
        <v>37360.870000000003</v>
      </c>
      <c r="I16" s="468">
        <v>420.69000000000233</v>
      </c>
      <c r="J16" s="469">
        <v>1.1134796975032324</v>
      </c>
      <c r="M16" s="464"/>
      <c r="N16" s="465"/>
    </row>
    <row r="17" spans="2:14" ht="24" customHeight="1" thickTop="1" thickBot="1">
      <c r="B17" s="520" t="s">
        <v>131</v>
      </c>
      <c r="C17" s="462">
        <v>2509.9</v>
      </c>
      <c r="D17" s="481">
        <v>2509.9</v>
      </c>
      <c r="E17" s="462">
        <v>0</v>
      </c>
      <c r="F17" s="474">
        <v>0</v>
      </c>
      <c r="G17" s="462">
        <v>2324.8778382884202</v>
      </c>
      <c r="H17" s="462">
        <v>2324.8778382884202</v>
      </c>
      <c r="I17" s="462">
        <v>0</v>
      </c>
      <c r="J17" s="474">
        <v>0</v>
      </c>
      <c r="M17" s="472"/>
      <c r="N17" s="472"/>
    </row>
    <row r="18" spans="2:14" ht="24" customHeight="1" thickTop="1">
      <c r="B18" s="331" t="s">
        <v>494</v>
      </c>
      <c r="C18" s="462">
        <v>10359.400000000001</v>
      </c>
      <c r="D18" s="462">
        <v>10359.400000000001</v>
      </c>
      <c r="E18" s="462">
        <v>0</v>
      </c>
      <c r="F18" s="463">
        <v>0</v>
      </c>
      <c r="G18" s="461">
        <v>8594.20101355726</v>
      </c>
      <c r="H18" s="462">
        <v>8594.20101355726</v>
      </c>
      <c r="I18" s="462">
        <v>0</v>
      </c>
      <c r="J18" s="463">
        <v>0</v>
      </c>
      <c r="M18" s="475"/>
      <c r="N18" s="476"/>
    </row>
    <row r="19" spans="2:14" ht="24" customHeight="1">
      <c r="B19" s="331" t="s">
        <v>522</v>
      </c>
      <c r="C19" s="462">
        <v>5888.2999999999993</v>
      </c>
      <c r="D19" s="462">
        <v>5888.2999999999993</v>
      </c>
      <c r="E19" s="462">
        <v>0</v>
      </c>
      <c r="F19" s="463">
        <v>0</v>
      </c>
      <c r="G19" s="462">
        <v>5282.8736472016008</v>
      </c>
      <c r="H19" s="462">
        <v>5282.8736472016008</v>
      </c>
      <c r="I19" s="462">
        <v>0</v>
      </c>
      <c r="J19" s="463">
        <v>0</v>
      </c>
      <c r="M19" s="475"/>
      <c r="N19" s="475"/>
    </row>
    <row r="20" spans="2:14" ht="24" customHeight="1">
      <c r="B20" s="331" t="s">
        <v>491</v>
      </c>
      <c r="C20" s="462">
        <v>13154.700000000004</v>
      </c>
      <c r="D20" s="462">
        <v>13154.700000000004</v>
      </c>
      <c r="E20" s="462">
        <v>0</v>
      </c>
      <c r="F20" s="463">
        <v>0</v>
      </c>
      <c r="G20" s="462">
        <v>10823.552372999999</v>
      </c>
      <c r="H20" s="462">
        <v>10823.552372999999</v>
      </c>
      <c r="I20" s="462">
        <v>0</v>
      </c>
      <c r="J20" s="463">
        <v>0</v>
      </c>
      <c r="M20" s="475"/>
      <c r="N20" s="475"/>
    </row>
    <row r="21" spans="2:14" ht="24" customHeight="1">
      <c r="B21" s="331" t="s">
        <v>505</v>
      </c>
      <c r="C21" s="462">
        <v>205.10000000000002</v>
      </c>
      <c r="D21" s="462">
        <v>205.10000000000002</v>
      </c>
      <c r="E21" s="462">
        <v>0</v>
      </c>
      <c r="F21" s="463">
        <v>0</v>
      </c>
      <c r="G21" s="462">
        <v>151.59726199999997</v>
      </c>
      <c r="H21" s="462">
        <v>151.59726199999997</v>
      </c>
      <c r="I21" s="462">
        <v>0</v>
      </c>
      <c r="J21" s="463">
        <v>0</v>
      </c>
      <c r="M21" s="475"/>
      <c r="N21" s="475"/>
    </row>
    <row r="22" spans="2:14" ht="24" customHeight="1">
      <c r="B22" s="336" t="s">
        <v>1728</v>
      </c>
      <c r="C22" s="462">
        <v>538.50000000000011</v>
      </c>
      <c r="D22" s="462">
        <v>538.50000000000011</v>
      </c>
      <c r="E22" s="462">
        <v>0</v>
      </c>
      <c r="F22" s="463">
        <v>0</v>
      </c>
      <c r="G22" s="462">
        <v>349.00154099999992</v>
      </c>
      <c r="H22" s="462">
        <v>349.00154099999992</v>
      </c>
      <c r="I22" s="462">
        <v>0</v>
      </c>
      <c r="J22" s="463">
        <v>0</v>
      </c>
      <c r="M22" s="475"/>
      <c r="N22" s="475"/>
    </row>
    <row r="23" spans="2:14" ht="27.75" customHeight="1">
      <c r="B23" s="331" t="s">
        <v>504</v>
      </c>
      <c r="C23" s="462">
        <v>343.99999999999994</v>
      </c>
      <c r="D23" s="462">
        <v>343.99999999999994</v>
      </c>
      <c r="E23" s="462">
        <v>0</v>
      </c>
      <c r="F23" s="463">
        <v>0</v>
      </c>
      <c r="G23" s="462">
        <v>310.30697099999992</v>
      </c>
      <c r="H23" s="462">
        <v>310.30697099999992</v>
      </c>
      <c r="I23" s="462">
        <v>0</v>
      </c>
      <c r="J23" s="463">
        <v>0</v>
      </c>
      <c r="M23" s="475"/>
      <c r="N23" s="475"/>
    </row>
    <row r="24" spans="2:14" ht="24" customHeight="1" thickBot="1">
      <c r="B24" s="333" t="s">
        <v>1673</v>
      </c>
      <c r="C24" s="468">
        <v>32999.9</v>
      </c>
      <c r="D24" s="468">
        <v>32999.9</v>
      </c>
      <c r="E24" s="468">
        <v>0</v>
      </c>
      <c r="F24" s="493">
        <v>0</v>
      </c>
      <c r="G24" s="468">
        <v>27836.410646047276</v>
      </c>
      <c r="H24" s="470">
        <v>27836.410646047276</v>
      </c>
      <c r="I24" s="468">
        <v>0</v>
      </c>
      <c r="J24" s="493">
        <v>0</v>
      </c>
      <c r="M24" s="475"/>
      <c r="N24" s="475"/>
    </row>
    <row r="25" spans="2:14" ht="24" customHeight="1" thickTop="1" thickBot="1">
      <c r="B25" s="331" t="s">
        <v>530</v>
      </c>
      <c r="C25" s="462">
        <v>5560.1900719999994</v>
      </c>
      <c r="D25" s="462">
        <v>5553.74</v>
      </c>
      <c r="E25" s="462">
        <v>6.4500719999996363</v>
      </c>
      <c r="F25" s="474">
        <v>0.11600452352305191</v>
      </c>
      <c r="G25" s="462">
        <v>5074.6532439999992</v>
      </c>
      <c r="H25" s="462">
        <v>5074.6532439999992</v>
      </c>
      <c r="I25" s="462">
        <v>0</v>
      </c>
      <c r="J25" s="474">
        <v>0</v>
      </c>
      <c r="M25" s="478"/>
      <c r="N25" s="479"/>
    </row>
    <row r="26" spans="2:14" ht="24" customHeight="1" thickTop="1">
      <c r="B26" s="331" t="s">
        <v>524</v>
      </c>
      <c r="C26" s="462">
        <v>5218.97</v>
      </c>
      <c r="D26" s="462">
        <v>5218.97</v>
      </c>
      <c r="E26" s="462">
        <v>0</v>
      </c>
      <c r="F26" s="463">
        <v>0</v>
      </c>
      <c r="G26" s="462">
        <v>4579.4130710000009</v>
      </c>
      <c r="H26" s="462">
        <v>4579.4130710000009</v>
      </c>
      <c r="I26" s="462">
        <v>0</v>
      </c>
      <c r="J26" s="463">
        <v>0</v>
      </c>
      <c r="M26" s="475"/>
      <c r="N26" s="476"/>
    </row>
    <row r="27" spans="2:14" ht="24" customHeight="1">
      <c r="B27" s="331" t="s">
        <v>506</v>
      </c>
      <c r="C27" s="462">
        <v>5300.75</v>
      </c>
      <c r="D27" s="462">
        <v>5300.75</v>
      </c>
      <c r="E27" s="462">
        <v>0</v>
      </c>
      <c r="F27" s="463">
        <v>0</v>
      </c>
      <c r="G27" s="462">
        <v>5169.2949400000007</v>
      </c>
      <c r="H27" s="462">
        <v>5169.2949400000007</v>
      </c>
      <c r="I27" s="462">
        <v>0</v>
      </c>
      <c r="J27" s="463">
        <v>0</v>
      </c>
      <c r="M27" s="475"/>
      <c r="N27" s="475"/>
    </row>
    <row r="28" spans="2:14" ht="24" customHeight="1">
      <c r="B28" s="331" t="s">
        <v>507</v>
      </c>
      <c r="C28" s="462">
        <v>2005.3865000000001</v>
      </c>
      <c r="D28" s="462">
        <v>2005.3865000000001</v>
      </c>
      <c r="E28" s="462">
        <v>0</v>
      </c>
      <c r="F28" s="463">
        <v>0</v>
      </c>
      <c r="G28" s="462">
        <v>1922.3913343859999</v>
      </c>
      <c r="H28" s="462">
        <v>1922.3913343859999</v>
      </c>
      <c r="I28" s="462">
        <v>0</v>
      </c>
      <c r="J28" s="463">
        <v>0</v>
      </c>
      <c r="M28" s="475"/>
      <c r="N28" s="475"/>
    </row>
    <row r="29" spans="2:14" ht="24" customHeight="1">
      <c r="B29" s="331" t="s">
        <v>508</v>
      </c>
      <c r="C29" s="462">
        <v>9221.0663000000004</v>
      </c>
      <c r="D29" s="462">
        <v>9221.0663000000004</v>
      </c>
      <c r="E29" s="462">
        <v>0</v>
      </c>
      <c r="F29" s="463">
        <v>0</v>
      </c>
      <c r="G29" s="462">
        <v>8827.9639534000016</v>
      </c>
      <c r="H29" s="462">
        <v>8827.9639534000016</v>
      </c>
      <c r="I29" s="462">
        <v>0</v>
      </c>
      <c r="J29" s="463">
        <v>0</v>
      </c>
      <c r="M29" s="475"/>
      <c r="N29" s="475"/>
    </row>
    <row r="30" spans="2:14" ht="24" customHeight="1">
      <c r="B30" s="331" t="s">
        <v>509</v>
      </c>
      <c r="C30" s="462">
        <v>242.31</v>
      </c>
      <c r="D30" s="462">
        <v>242.31</v>
      </c>
      <c r="E30" s="462">
        <v>0</v>
      </c>
      <c r="F30" s="463">
        <v>0</v>
      </c>
      <c r="G30" s="462">
        <v>234.6337121</v>
      </c>
      <c r="H30" s="462">
        <v>234.6337121</v>
      </c>
      <c r="I30" s="462">
        <v>0</v>
      </c>
      <c r="J30" s="463">
        <v>0</v>
      </c>
      <c r="M30" s="475"/>
      <c r="N30" s="475"/>
    </row>
    <row r="31" spans="2:14" ht="24" customHeight="1">
      <c r="B31" s="331" t="s">
        <v>1729</v>
      </c>
      <c r="C31" s="462">
        <v>4.5739999999999998</v>
      </c>
      <c r="D31" s="462">
        <v>4.5739999999999998</v>
      </c>
      <c r="E31" s="462">
        <v>0</v>
      </c>
      <c r="F31" s="964">
        <v>0</v>
      </c>
      <c r="G31" s="462">
        <v>4.5739999999999998</v>
      </c>
      <c r="H31" s="462">
        <v>4.5739999999999998</v>
      </c>
      <c r="I31" s="462">
        <v>0</v>
      </c>
      <c r="J31" s="964">
        <v>0</v>
      </c>
      <c r="M31" s="475"/>
      <c r="N31" s="475"/>
    </row>
    <row r="32" spans="2:14" ht="24" customHeight="1" thickBot="1">
      <c r="B32" s="333" t="s">
        <v>1674</v>
      </c>
      <c r="C32" s="468">
        <v>27548.672871999999</v>
      </c>
      <c r="D32" s="468">
        <v>27542.2228</v>
      </c>
      <c r="E32" s="468">
        <v>6.4500719999996363</v>
      </c>
      <c r="F32" s="469">
        <v>2.341336742415414E-2</v>
      </c>
      <c r="G32" s="468">
        <v>25808.350254886001</v>
      </c>
      <c r="H32" s="470">
        <v>25808.350254886001</v>
      </c>
      <c r="I32" s="468">
        <v>0</v>
      </c>
      <c r="J32" s="469">
        <v>0</v>
      </c>
      <c r="M32" s="475"/>
      <c r="N32" s="475"/>
    </row>
    <row r="33" spans="2:17" ht="24" customHeight="1" thickTop="1" thickBot="1">
      <c r="B33" s="331" t="s">
        <v>499</v>
      </c>
      <c r="C33" s="462">
        <v>3188.6948000000002</v>
      </c>
      <c r="D33" s="481">
        <v>3188.6948000000002</v>
      </c>
      <c r="E33" s="462">
        <v>0</v>
      </c>
      <c r="F33" s="463">
        <v>0</v>
      </c>
      <c r="G33" s="462">
        <v>2999.400813329999</v>
      </c>
      <c r="H33" s="462">
        <v>2991.6638133299989</v>
      </c>
      <c r="I33" s="462">
        <v>7.73700000000008</v>
      </c>
      <c r="J33" s="463">
        <v>0.25795152037084024</v>
      </c>
      <c r="M33" s="480"/>
      <c r="N33" s="480"/>
    </row>
    <row r="34" spans="2:17" ht="24" customHeight="1" thickTop="1">
      <c r="B34" s="331" t="s">
        <v>9</v>
      </c>
      <c r="C34" s="462">
        <v>1886.5955789473687</v>
      </c>
      <c r="D34" s="462">
        <v>1886.5955789473687</v>
      </c>
      <c r="E34" s="462">
        <v>0</v>
      </c>
      <c r="F34" s="463">
        <v>0</v>
      </c>
      <c r="G34" s="462">
        <v>1753.4677022970004</v>
      </c>
      <c r="H34" s="462">
        <v>1753.4677022970004</v>
      </c>
      <c r="I34" s="462">
        <v>0</v>
      </c>
      <c r="J34" s="463">
        <v>0</v>
      </c>
      <c r="M34" s="475"/>
      <c r="N34" s="476"/>
    </row>
    <row r="35" spans="2:17" ht="24" customHeight="1">
      <c r="B35" s="331" t="s">
        <v>511</v>
      </c>
      <c r="C35" s="462">
        <v>804.25055555555548</v>
      </c>
      <c r="D35" s="462">
        <v>804.25055555555548</v>
      </c>
      <c r="E35" s="462">
        <v>0</v>
      </c>
      <c r="F35" s="463">
        <v>0</v>
      </c>
      <c r="G35" s="462">
        <v>770.88137226099934</v>
      </c>
      <c r="H35" s="462">
        <v>765.74537226099937</v>
      </c>
      <c r="I35" s="462">
        <v>5.1359999999999673</v>
      </c>
      <c r="J35" s="463">
        <v>0.66625037065509196</v>
      </c>
      <c r="M35" s="475"/>
      <c r="N35" s="475"/>
    </row>
    <row r="36" spans="2:17" ht="24" customHeight="1">
      <c r="B36" s="331" t="s">
        <v>472</v>
      </c>
      <c r="C36" s="462">
        <v>2923.2742800000001</v>
      </c>
      <c r="D36" s="462">
        <v>2923.2742800000001</v>
      </c>
      <c r="E36" s="462">
        <v>0</v>
      </c>
      <c r="F36" s="463">
        <v>0</v>
      </c>
      <c r="G36" s="462">
        <v>2479.5987554799999</v>
      </c>
      <c r="H36" s="462">
        <v>2479.5987554799999</v>
      </c>
      <c r="I36" s="462">
        <v>0</v>
      </c>
      <c r="J36" s="463">
        <v>0</v>
      </c>
      <c r="M36" s="475"/>
      <c r="N36" s="475"/>
    </row>
    <row r="37" spans="2:17" ht="24" customHeight="1">
      <c r="B37" s="332" t="s">
        <v>1730</v>
      </c>
      <c r="C37" s="462">
        <v>4429.3415800000002</v>
      </c>
      <c r="D37" s="462">
        <v>4429.3415800000002</v>
      </c>
      <c r="E37" s="462">
        <v>0</v>
      </c>
      <c r="F37" s="463">
        <v>0</v>
      </c>
      <c r="G37" s="462">
        <v>4637.5125932500005</v>
      </c>
      <c r="H37" s="462">
        <v>4624.0405932500007</v>
      </c>
      <c r="I37" s="462">
        <v>13.471999999999753</v>
      </c>
      <c r="J37" s="463">
        <v>0.29050055884718329</v>
      </c>
      <c r="M37" s="475"/>
      <c r="N37" s="475"/>
    </row>
    <row r="38" spans="2:17" ht="28.5" customHeight="1">
      <c r="B38" s="332" t="s">
        <v>1731</v>
      </c>
      <c r="C38" s="462">
        <v>41.3</v>
      </c>
      <c r="D38" s="462">
        <v>41.3</v>
      </c>
      <c r="E38" s="462">
        <v>0</v>
      </c>
      <c r="F38" s="463">
        <v>0</v>
      </c>
      <c r="G38" s="462">
        <v>41.019733238999997</v>
      </c>
      <c r="H38" s="462">
        <v>41.019733238999997</v>
      </c>
      <c r="I38" s="462">
        <v>0</v>
      </c>
      <c r="J38" s="463">
        <v>0</v>
      </c>
      <c r="M38" s="475"/>
      <c r="N38" s="475"/>
    </row>
    <row r="39" spans="2:17" ht="26.25" customHeight="1">
      <c r="B39" s="336" t="s">
        <v>1732</v>
      </c>
      <c r="C39" s="462">
        <v>28.84</v>
      </c>
      <c r="D39" s="462">
        <v>26.92</v>
      </c>
      <c r="E39" s="462">
        <v>1.9199999999999982</v>
      </c>
      <c r="F39" s="964">
        <v>6.6574202496532537</v>
      </c>
      <c r="G39" s="462">
        <v>28.84</v>
      </c>
      <c r="H39" s="462">
        <v>26.92</v>
      </c>
      <c r="I39" s="462">
        <v>1.9199999999999982</v>
      </c>
      <c r="J39" s="964">
        <v>6.6574202496532537</v>
      </c>
      <c r="M39" s="475"/>
      <c r="N39" s="475"/>
    </row>
    <row r="40" spans="2:17" ht="26.25" customHeight="1" thickBot="1">
      <c r="B40" s="334" t="s">
        <v>1675</v>
      </c>
      <c r="C40" s="468">
        <v>13273.456794502925</v>
      </c>
      <c r="D40" s="468">
        <v>13273.456794502925</v>
      </c>
      <c r="E40" s="468">
        <v>0</v>
      </c>
      <c r="F40" s="469">
        <v>0</v>
      </c>
      <c r="G40" s="468">
        <v>12681.880969856998</v>
      </c>
      <c r="H40" s="470">
        <v>12655.535969856997</v>
      </c>
      <c r="I40" s="468">
        <v>26.345000000001164</v>
      </c>
      <c r="J40" s="469">
        <v>0.20773732274115669</v>
      </c>
      <c r="K40" s="1319"/>
      <c r="L40" s="482"/>
      <c r="M40" s="465"/>
      <c r="N40" s="465"/>
      <c r="P40" s="483"/>
      <c r="Q40" s="483"/>
    </row>
    <row r="41" spans="2:17" ht="24" customHeight="1" thickTop="1" thickBot="1">
      <c r="B41" s="332" t="s">
        <v>526</v>
      </c>
      <c r="C41" s="462">
        <v>66.38</v>
      </c>
      <c r="D41" s="481">
        <v>66.09</v>
      </c>
      <c r="E41" s="462">
        <v>0.28999999999999204</v>
      </c>
      <c r="F41" s="463">
        <v>0.43687857788489315</v>
      </c>
      <c r="G41" s="462">
        <v>55.628643138514185</v>
      </c>
      <c r="H41" s="462">
        <v>55.385258716129023</v>
      </c>
      <c r="I41" s="462">
        <v>0.24338442238516222</v>
      </c>
      <c r="J41" s="463">
        <v>0.4375163740361957</v>
      </c>
      <c r="M41" s="480"/>
      <c r="N41" s="480"/>
    </row>
    <row r="42" spans="2:17" ht="27" customHeight="1" thickTop="1">
      <c r="B42" s="331" t="s">
        <v>512</v>
      </c>
      <c r="C42" s="462">
        <v>957.37</v>
      </c>
      <c r="D42" s="462">
        <v>957.37</v>
      </c>
      <c r="E42" s="462">
        <v>0</v>
      </c>
      <c r="F42" s="463">
        <v>0</v>
      </c>
      <c r="G42" s="462">
        <v>910.75651247329085</v>
      </c>
      <c r="H42" s="462">
        <v>888.46305138870741</v>
      </c>
      <c r="I42" s="462">
        <v>22.293461084583441</v>
      </c>
      <c r="J42" s="463">
        <v>2.4477959563574601</v>
      </c>
      <c r="M42" s="475"/>
      <c r="N42" s="476"/>
    </row>
    <row r="43" spans="2:17" ht="24" customHeight="1">
      <c r="B43" s="331" t="s">
        <v>515</v>
      </c>
      <c r="C43" s="462">
        <v>78.23</v>
      </c>
      <c r="D43" s="462">
        <v>77.94</v>
      </c>
      <c r="E43" s="462">
        <v>0.29000000000000625</v>
      </c>
      <c r="F43" s="463">
        <v>0.37070177681197269</v>
      </c>
      <c r="G43" s="462">
        <v>72.518247433180008</v>
      </c>
      <c r="H43" s="462">
        <v>72.139889400000001</v>
      </c>
      <c r="I43" s="462">
        <v>0.37835803318000671</v>
      </c>
      <c r="J43" s="463">
        <v>0.5217418326727139</v>
      </c>
      <c r="M43" s="475"/>
      <c r="N43" s="475"/>
    </row>
    <row r="44" spans="2:17" ht="24" customHeight="1">
      <c r="B44" s="331" t="s">
        <v>514</v>
      </c>
      <c r="C44" s="462">
        <v>164.6</v>
      </c>
      <c r="D44" s="462">
        <v>164.6</v>
      </c>
      <c r="E44" s="462">
        <v>0</v>
      </c>
      <c r="F44" s="463">
        <v>0</v>
      </c>
      <c r="G44" s="462">
        <v>157.93454642</v>
      </c>
      <c r="H44" s="462">
        <v>157.93454642</v>
      </c>
      <c r="I44" s="462">
        <v>0</v>
      </c>
      <c r="J44" s="463">
        <v>0</v>
      </c>
      <c r="M44" s="475"/>
      <c r="N44" s="475"/>
    </row>
    <row r="45" spans="2:17" ht="24" customHeight="1">
      <c r="B45" s="331" t="s">
        <v>517</v>
      </c>
      <c r="C45" s="462">
        <v>49.64</v>
      </c>
      <c r="D45" s="462">
        <v>49.35</v>
      </c>
      <c r="E45" s="462">
        <v>0.28999999999999915</v>
      </c>
      <c r="F45" s="463">
        <v>0.58420628525382579</v>
      </c>
      <c r="G45" s="462">
        <v>48.904659634480005</v>
      </c>
      <c r="H45" s="462">
        <v>48.529218400000005</v>
      </c>
      <c r="I45" s="462">
        <v>0.37544123448000022</v>
      </c>
      <c r="J45" s="463">
        <v>0.76770033220985168</v>
      </c>
      <c r="M45" s="475"/>
      <c r="N45" s="475"/>
    </row>
    <row r="46" spans="2:17" ht="24" customHeight="1">
      <c r="B46" s="331" t="s">
        <v>516</v>
      </c>
      <c r="C46" s="462">
        <v>73.92</v>
      </c>
      <c r="D46" s="462">
        <v>73.63</v>
      </c>
      <c r="E46" s="462">
        <v>0.29000000000000625</v>
      </c>
      <c r="F46" s="463">
        <v>0.39231601731602578</v>
      </c>
      <c r="G46" s="462">
        <v>68.855414803570326</v>
      </c>
      <c r="H46" s="462">
        <v>68.505966593548379</v>
      </c>
      <c r="I46" s="462">
        <v>0.34944821002194715</v>
      </c>
      <c r="J46" s="463">
        <v>0.50751013702966952</v>
      </c>
      <c r="M46" s="475"/>
      <c r="N46" s="475"/>
    </row>
    <row r="47" spans="2:17" ht="24" customHeight="1">
      <c r="B47" s="331" t="s">
        <v>1733</v>
      </c>
      <c r="C47" s="462">
        <v>135.05000000000001</v>
      </c>
      <c r="D47" s="462">
        <v>134.75</v>
      </c>
      <c r="E47" s="462">
        <v>0.30000000000001137</v>
      </c>
      <c r="F47" s="463">
        <v>0.22213994816735383</v>
      </c>
      <c r="G47" s="462">
        <v>133.55856841099998</v>
      </c>
      <c r="H47" s="462">
        <v>133.53862999999998</v>
      </c>
      <c r="I47" s="462">
        <v>1.9938410999998268E-2</v>
      </c>
      <c r="J47" s="463">
        <v>1.4928589934149163E-2</v>
      </c>
      <c r="M47" s="475"/>
      <c r="N47" s="475"/>
    </row>
    <row r="48" spans="2:17" ht="24" customHeight="1" thickBot="1">
      <c r="B48" s="1050" t="s">
        <v>1734</v>
      </c>
      <c r="C48" s="468">
        <v>1525.19</v>
      </c>
      <c r="D48" s="468">
        <v>1523.73</v>
      </c>
      <c r="E48" s="468">
        <v>1.4600000000000364</v>
      </c>
      <c r="F48" s="469">
        <v>9.5725778427608127E-2</v>
      </c>
      <c r="G48" s="468">
        <v>1448.1565923140352</v>
      </c>
      <c r="H48" s="470">
        <v>1424.4965609183848</v>
      </c>
      <c r="I48" s="468">
        <v>23.660031395650321</v>
      </c>
      <c r="J48" s="493">
        <v>1.6338033829507026</v>
      </c>
      <c r="M48" s="475"/>
      <c r="N48" s="475"/>
    </row>
    <row r="49" spans="2:14" ht="25.5" customHeight="1" thickTop="1" thickBot="1">
      <c r="B49" s="337" t="s">
        <v>1735</v>
      </c>
      <c r="C49" s="494">
        <v>114672.18666650294</v>
      </c>
      <c r="D49" s="494">
        <v>114352.38859450292</v>
      </c>
      <c r="E49" s="470">
        <v>319.7980720000196</v>
      </c>
      <c r="F49" s="495">
        <v>0.27888024227712427</v>
      </c>
      <c r="G49" s="468">
        <v>105556.35846310432</v>
      </c>
      <c r="H49" s="470">
        <v>105085.66343170866</v>
      </c>
      <c r="I49" s="470">
        <v>470.69503139566223</v>
      </c>
      <c r="J49" s="495">
        <v>0.44591821681702554</v>
      </c>
      <c r="M49" s="480"/>
      <c r="N49" s="480"/>
    </row>
    <row r="50" spans="2:14" ht="24" customHeight="1" thickTop="1" thickBot="1">
      <c r="B50" s="1320"/>
      <c r="C50" s="1321"/>
      <c r="D50" s="1321"/>
      <c r="E50" s="1321"/>
      <c r="F50" s="1322"/>
      <c r="G50" s="1321"/>
      <c r="H50" s="1321"/>
      <c r="I50" s="1321"/>
      <c r="J50" s="1322"/>
      <c r="M50" s="572"/>
      <c r="N50" s="572"/>
    </row>
    <row r="51" spans="2:14" ht="21.75" customHeight="1" thickTop="1">
      <c r="B51" s="869"/>
      <c r="C51" s="869"/>
      <c r="D51" s="869"/>
      <c r="E51" s="869"/>
      <c r="F51" s="869"/>
      <c r="G51" s="869"/>
      <c r="H51" s="869"/>
      <c r="I51" s="869"/>
      <c r="J51" s="869"/>
      <c r="M51" s="485"/>
    </row>
    <row r="52" spans="2:14" ht="30.6" customHeight="1">
      <c r="B52" s="869" t="s">
        <v>1531</v>
      </c>
      <c r="C52" s="869"/>
      <c r="D52" s="869"/>
      <c r="E52" s="869"/>
      <c r="F52" s="869"/>
      <c r="G52" s="869"/>
      <c r="H52" s="869"/>
      <c r="I52" s="869"/>
      <c r="J52" s="869"/>
    </row>
    <row r="53" spans="2:14" ht="18" customHeight="1">
      <c r="B53" s="195" t="s">
        <v>1534</v>
      </c>
      <c r="C53" s="195"/>
      <c r="D53" s="195"/>
      <c r="E53" s="195"/>
      <c r="F53" s="195"/>
      <c r="G53" s="195"/>
      <c r="H53" s="195"/>
      <c r="I53" s="195"/>
      <c r="J53" s="195"/>
    </row>
    <row r="55" spans="2:14" ht="18" customHeight="1">
      <c r="D55" s="264" t="s">
        <v>426</v>
      </c>
      <c r="K55" s="844">
        <v>23</v>
      </c>
    </row>
    <row r="58" spans="2:14" ht="18" customHeight="1">
      <c r="D58" s="485"/>
    </row>
    <row r="206" spans="3:3" ht="18" customHeight="1">
      <c r="C206" s="264" t="e">
        <f>+++++++#NAME?</f>
        <v>#NAME?</v>
      </c>
    </row>
    <row r="207" spans="3:3" ht="18" customHeight="1">
      <c r="C207" s="264" t="s">
        <v>94</v>
      </c>
    </row>
    <row r="208" spans="3:3" ht="18" customHeight="1">
      <c r="C208" s="264" t="s">
        <v>94</v>
      </c>
    </row>
    <row r="209" spans="3:3" ht="18" customHeight="1">
      <c r="C209" s="264" t="s">
        <v>94</v>
      </c>
    </row>
    <row r="210" spans="3:3" ht="18" customHeight="1">
      <c r="C210" s="264" t="s">
        <v>94</v>
      </c>
    </row>
    <row r="211" spans="3:3" ht="18" customHeight="1">
      <c r="C211" s="264" t="s">
        <v>94</v>
      </c>
    </row>
    <row r="212" spans="3:3" ht="18" customHeight="1">
      <c r="C212" s="264" t="s">
        <v>94</v>
      </c>
    </row>
    <row r="213" spans="3:3" ht="18" customHeight="1">
      <c r="C213" s="264" t="s">
        <v>94</v>
      </c>
    </row>
    <row r="214" spans="3:3" ht="18" customHeight="1">
      <c r="C214" s="264" t="s">
        <v>94</v>
      </c>
    </row>
    <row r="215" spans="3:3" ht="18" customHeight="1">
      <c r="C215" s="264" t="s">
        <v>94</v>
      </c>
    </row>
    <row r="216" spans="3:3" ht="18" customHeight="1">
      <c r="C216" s="264" t="s">
        <v>94</v>
      </c>
    </row>
    <row r="217" spans="3:3" ht="18" customHeight="1">
      <c r="C217" s="264" t="s">
        <v>94</v>
      </c>
    </row>
    <row r="218" spans="3:3" ht="18" customHeight="1">
      <c r="C218" s="264" t="s">
        <v>94</v>
      </c>
    </row>
    <row r="219" spans="3:3" ht="18" customHeight="1">
      <c r="C219" s="264" t="s">
        <v>94</v>
      </c>
    </row>
    <row r="220" spans="3:3" ht="18" customHeight="1">
      <c r="C220" s="264" t="s">
        <v>94</v>
      </c>
    </row>
    <row r="221" spans="3:3" ht="18" customHeight="1">
      <c r="C221" s="264" t="s">
        <v>94</v>
      </c>
    </row>
    <row r="222" spans="3:3" ht="18" customHeight="1">
      <c r="C222" s="264" t="s">
        <v>94</v>
      </c>
    </row>
    <row r="223" spans="3:3" ht="18" customHeight="1">
      <c r="C223" s="264" t="s">
        <v>94</v>
      </c>
    </row>
    <row r="224" spans="3:3" ht="18" customHeight="1">
      <c r="C224" s="264" t="s">
        <v>94</v>
      </c>
    </row>
    <row r="225" spans="3:3" ht="18" customHeight="1">
      <c r="C225" s="264" t="s">
        <v>94</v>
      </c>
    </row>
    <row r="226" spans="3:3" ht="18" customHeight="1">
      <c r="C226" s="264" t="s">
        <v>94</v>
      </c>
    </row>
    <row r="227" spans="3:3" ht="18" customHeight="1">
      <c r="C227" s="264" t="s">
        <v>94</v>
      </c>
    </row>
    <row r="228" spans="3:3" ht="18" customHeight="1">
      <c r="C228" s="264" t="s">
        <v>94</v>
      </c>
    </row>
    <row r="229" spans="3:3" ht="18" customHeight="1">
      <c r="C229" s="264" t="s">
        <v>94</v>
      </c>
    </row>
    <row r="230" spans="3:3" ht="18" customHeight="1">
      <c r="C230" s="264" t="s">
        <v>94</v>
      </c>
    </row>
    <row r="231" spans="3:3" ht="18" customHeight="1">
      <c r="C231" s="264" t="s">
        <v>94</v>
      </c>
    </row>
    <row r="232" spans="3:3" ht="18" customHeight="1">
      <c r="C232" s="264" t="s">
        <v>94</v>
      </c>
    </row>
    <row r="233" spans="3:3" ht="18" customHeight="1">
      <c r="C233" s="264" t="s">
        <v>94</v>
      </c>
    </row>
    <row r="234" spans="3:3" ht="18" customHeight="1">
      <c r="C234" s="264" t="s">
        <v>94</v>
      </c>
    </row>
    <row r="235" spans="3:3" ht="18" customHeight="1">
      <c r="C235" s="264" t="s">
        <v>94</v>
      </c>
    </row>
    <row r="236" spans="3:3" ht="18" customHeight="1">
      <c r="C236" s="264" t="s">
        <v>94</v>
      </c>
    </row>
    <row r="237" spans="3:3" ht="18" customHeight="1">
      <c r="C237" s="264" t="s">
        <v>94</v>
      </c>
    </row>
    <row r="238" spans="3:3" ht="18" customHeight="1">
      <c r="C238" s="264" t="s">
        <v>94</v>
      </c>
    </row>
    <row r="239" spans="3:3" ht="18" customHeight="1">
      <c r="C239" s="264" t="s">
        <v>94</v>
      </c>
    </row>
    <row r="240" spans="3:3" ht="18" customHeight="1">
      <c r="C240" s="264" t="s">
        <v>94</v>
      </c>
    </row>
    <row r="241" spans="3:3" ht="18" customHeight="1">
      <c r="C241" s="264" t="s">
        <v>94</v>
      </c>
    </row>
    <row r="242" spans="3:3" ht="18" customHeight="1">
      <c r="C242" s="264" t="s">
        <v>94</v>
      </c>
    </row>
    <row r="243" spans="3:3" ht="18" customHeight="1">
      <c r="C243" s="264" t="s">
        <v>94</v>
      </c>
    </row>
    <row r="244" spans="3:3" ht="18" customHeight="1">
      <c r="C244" s="264" t="s">
        <v>94</v>
      </c>
    </row>
    <row r="245" spans="3:3" ht="18" customHeight="1">
      <c r="C245" s="264" t="s">
        <v>94</v>
      </c>
    </row>
    <row r="246" spans="3:3" ht="18" customHeight="1">
      <c r="C246" s="264" t="s">
        <v>94</v>
      </c>
    </row>
    <row r="247" spans="3:3" ht="18" customHeight="1">
      <c r="C247" s="264" t="s">
        <v>94</v>
      </c>
    </row>
    <row r="248" spans="3:3" ht="18" customHeight="1">
      <c r="C248" s="264" t="s">
        <v>94</v>
      </c>
    </row>
    <row r="249" spans="3:3" ht="18" customHeight="1">
      <c r="C249" s="264" t="s">
        <v>94</v>
      </c>
    </row>
    <row r="250" spans="3:3" ht="18" customHeight="1">
      <c r="C250" s="264" t="s">
        <v>94</v>
      </c>
    </row>
    <row r="251" spans="3:3" ht="18" customHeight="1">
      <c r="C251" s="264" t="s">
        <v>94</v>
      </c>
    </row>
    <row r="252" spans="3:3" ht="18" customHeight="1">
      <c r="C252" s="264" t="s">
        <v>94</v>
      </c>
    </row>
    <row r="253" spans="3:3" ht="18" customHeight="1">
      <c r="C253" s="264" t="s">
        <v>94</v>
      </c>
    </row>
    <row r="435" ht="23.25" customHeight="1"/>
  </sheetData>
  <mergeCells count="4">
    <mergeCell ref="M4:P4"/>
    <mergeCell ref="B1:J1"/>
    <mergeCell ref="C3:F3"/>
    <mergeCell ref="G3:J3"/>
  </mergeCells>
  <conditionalFormatting sqref="I7:I50">
    <cfRule type="containsText" dxfId="19" priority="2" stopIfTrue="1" operator="containsText" text="Error">
      <formula>NOT(ISERROR(SEARCH("Error",I7)))</formula>
    </cfRule>
  </conditionalFormatting>
  <conditionalFormatting sqref="E7:E50">
    <cfRule type="containsText" dxfId="18" priority="1" stopIfTrue="1" operator="containsText" text="Error">
      <formula>NOT(ISERROR(SEARCH("Error",E7)))</formula>
    </cfRule>
  </conditionalFormatting>
  <printOptions horizontalCentered="1" verticalCentered="1"/>
  <pageMargins left="0.75" right="0.75" top="1" bottom="1" header="0.5" footer="0.5"/>
  <pageSetup scale="42"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2060"/>
  </sheetPr>
  <dimension ref="B2:Q434"/>
  <sheetViews>
    <sheetView view="pageBreakPreview" topLeftCell="A46" zoomScale="64" zoomScaleNormal="100" zoomScaleSheetLayoutView="64" workbookViewId="0">
      <selection activeCell="J28" sqref="J28"/>
    </sheetView>
  </sheetViews>
  <sheetFormatPr defaultRowHeight="18" customHeight="1"/>
  <cols>
    <col min="1" max="1" width="9.140625" style="248"/>
    <col min="2" max="2" width="49.28515625" style="248" customWidth="1"/>
    <col min="3" max="3" width="18.5703125" style="248" customWidth="1"/>
    <col min="4" max="4" width="22.85546875" style="248" customWidth="1"/>
    <col min="5" max="5" width="14.28515625" style="248" customWidth="1"/>
    <col min="6" max="6" width="13.140625" style="248" customWidth="1"/>
    <col min="7" max="7" width="19.85546875" style="248" customWidth="1"/>
    <col min="8" max="8" width="22.28515625" style="248" customWidth="1"/>
    <col min="9" max="10" width="15" style="248" customWidth="1"/>
    <col min="11" max="12" width="9.140625" style="248"/>
    <col min="13" max="13" width="14.28515625" style="248" customWidth="1"/>
    <col min="14" max="14" width="13.140625" style="248" customWidth="1"/>
    <col min="15" max="257" width="9.140625" style="248"/>
    <col min="258" max="258" width="49.28515625" style="248" customWidth="1"/>
    <col min="259" max="259" width="18.5703125" style="248" customWidth="1"/>
    <col min="260" max="260" width="22.85546875" style="248" customWidth="1"/>
    <col min="261" max="261" width="14.28515625" style="248" customWidth="1"/>
    <col min="262" max="262" width="13.140625" style="248" customWidth="1"/>
    <col min="263" max="263" width="19.85546875" style="248" customWidth="1"/>
    <col min="264" max="264" width="22.28515625" style="248" customWidth="1"/>
    <col min="265" max="266" width="15" style="248" customWidth="1"/>
    <col min="267" max="268" width="9.140625" style="248"/>
    <col min="269" max="269" width="14.28515625" style="248" customWidth="1"/>
    <col min="270" max="270" width="13.140625" style="248" customWidth="1"/>
    <col min="271" max="513" width="9.140625" style="248"/>
    <col min="514" max="514" width="49.28515625" style="248" customWidth="1"/>
    <col min="515" max="515" width="18.5703125" style="248" customWidth="1"/>
    <col min="516" max="516" width="22.85546875" style="248" customWidth="1"/>
    <col min="517" max="517" width="14.28515625" style="248" customWidth="1"/>
    <col min="518" max="518" width="13.140625" style="248" customWidth="1"/>
    <col min="519" max="519" width="19.85546875" style="248" customWidth="1"/>
    <col min="520" max="520" width="22.28515625" style="248" customWidth="1"/>
    <col min="521" max="522" width="15" style="248" customWidth="1"/>
    <col min="523" max="524" width="9.140625" style="248"/>
    <col min="525" max="525" width="14.28515625" style="248" customWidth="1"/>
    <col min="526" max="526" width="13.140625" style="248" customWidth="1"/>
    <col min="527" max="769" width="9.140625" style="248"/>
    <col min="770" max="770" width="49.28515625" style="248" customWidth="1"/>
    <col min="771" max="771" width="18.5703125" style="248" customWidth="1"/>
    <col min="772" max="772" width="22.85546875" style="248" customWidth="1"/>
    <col min="773" max="773" width="14.28515625" style="248" customWidth="1"/>
    <col min="774" max="774" width="13.140625" style="248" customWidth="1"/>
    <col min="775" max="775" width="19.85546875" style="248" customWidth="1"/>
    <col min="776" max="776" width="22.28515625" style="248" customWidth="1"/>
    <col min="777" max="778" width="15" style="248" customWidth="1"/>
    <col min="779" max="780" width="9.140625" style="248"/>
    <col min="781" max="781" width="14.28515625" style="248" customWidth="1"/>
    <col min="782" max="782" width="13.140625" style="248" customWidth="1"/>
    <col min="783" max="1025" width="9.140625" style="248"/>
    <col min="1026" max="1026" width="49.28515625" style="248" customWidth="1"/>
    <col min="1027" max="1027" width="18.5703125" style="248" customWidth="1"/>
    <col min="1028" max="1028" width="22.85546875" style="248" customWidth="1"/>
    <col min="1029" max="1029" width="14.28515625" style="248" customWidth="1"/>
    <col min="1030" max="1030" width="13.140625" style="248" customWidth="1"/>
    <col min="1031" max="1031" width="19.85546875" style="248" customWidth="1"/>
    <col min="1032" max="1032" width="22.28515625" style="248" customWidth="1"/>
    <col min="1033" max="1034" width="15" style="248" customWidth="1"/>
    <col min="1035" max="1036" width="9.140625" style="248"/>
    <col min="1037" max="1037" width="14.28515625" style="248" customWidth="1"/>
    <col min="1038" max="1038" width="13.140625" style="248" customWidth="1"/>
    <col min="1039" max="1281" width="9.140625" style="248"/>
    <col min="1282" max="1282" width="49.28515625" style="248" customWidth="1"/>
    <col min="1283" max="1283" width="18.5703125" style="248" customWidth="1"/>
    <col min="1284" max="1284" width="22.85546875" style="248" customWidth="1"/>
    <col min="1285" max="1285" width="14.28515625" style="248" customWidth="1"/>
    <col min="1286" max="1286" width="13.140625" style="248" customWidth="1"/>
    <col min="1287" max="1287" width="19.85546875" style="248" customWidth="1"/>
    <col min="1288" max="1288" width="22.28515625" style="248" customWidth="1"/>
    <col min="1289" max="1290" width="15" style="248" customWidth="1"/>
    <col min="1291" max="1292" width="9.140625" style="248"/>
    <col min="1293" max="1293" width="14.28515625" style="248" customWidth="1"/>
    <col min="1294" max="1294" width="13.140625" style="248" customWidth="1"/>
    <col min="1295" max="1537" width="9.140625" style="248"/>
    <col min="1538" max="1538" width="49.28515625" style="248" customWidth="1"/>
    <col min="1539" max="1539" width="18.5703125" style="248" customWidth="1"/>
    <col min="1540" max="1540" width="22.85546875" style="248" customWidth="1"/>
    <col min="1541" max="1541" width="14.28515625" style="248" customWidth="1"/>
    <col min="1542" max="1542" width="13.140625" style="248" customWidth="1"/>
    <col min="1543" max="1543" width="19.85546875" style="248" customWidth="1"/>
    <col min="1544" max="1544" width="22.28515625" style="248" customWidth="1"/>
    <col min="1545" max="1546" width="15" style="248" customWidth="1"/>
    <col min="1547" max="1548" width="9.140625" style="248"/>
    <col min="1549" max="1549" width="14.28515625" style="248" customWidth="1"/>
    <col min="1550" max="1550" width="13.140625" style="248" customWidth="1"/>
    <col min="1551" max="1793" width="9.140625" style="248"/>
    <col min="1794" max="1794" width="49.28515625" style="248" customWidth="1"/>
    <col min="1795" max="1795" width="18.5703125" style="248" customWidth="1"/>
    <col min="1796" max="1796" width="22.85546875" style="248" customWidth="1"/>
    <col min="1797" max="1797" width="14.28515625" style="248" customWidth="1"/>
    <col min="1798" max="1798" width="13.140625" style="248" customWidth="1"/>
    <col min="1799" max="1799" width="19.85546875" style="248" customWidth="1"/>
    <col min="1800" max="1800" width="22.28515625" style="248" customWidth="1"/>
    <col min="1801" max="1802" width="15" style="248" customWidth="1"/>
    <col min="1803" max="1804" width="9.140625" style="248"/>
    <col min="1805" max="1805" width="14.28515625" style="248" customWidth="1"/>
    <col min="1806" max="1806" width="13.140625" style="248" customWidth="1"/>
    <col min="1807" max="2049" width="9.140625" style="248"/>
    <col min="2050" max="2050" width="49.28515625" style="248" customWidth="1"/>
    <col min="2051" max="2051" width="18.5703125" style="248" customWidth="1"/>
    <col min="2052" max="2052" width="22.85546875" style="248" customWidth="1"/>
    <col min="2053" max="2053" width="14.28515625" style="248" customWidth="1"/>
    <col min="2054" max="2054" width="13.140625" style="248" customWidth="1"/>
    <col min="2055" max="2055" width="19.85546875" style="248" customWidth="1"/>
    <col min="2056" max="2056" width="22.28515625" style="248" customWidth="1"/>
    <col min="2057" max="2058" width="15" style="248" customWidth="1"/>
    <col min="2059" max="2060" width="9.140625" style="248"/>
    <col min="2061" max="2061" width="14.28515625" style="248" customWidth="1"/>
    <col min="2062" max="2062" width="13.140625" style="248" customWidth="1"/>
    <col min="2063" max="2305" width="9.140625" style="248"/>
    <col min="2306" max="2306" width="49.28515625" style="248" customWidth="1"/>
    <col min="2307" max="2307" width="18.5703125" style="248" customWidth="1"/>
    <col min="2308" max="2308" width="22.85546875" style="248" customWidth="1"/>
    <col min="2309" max="2309" width="14.28515625" style="248" customWidth="1"/>
    <col min="2310" max="2310" width="13.140625" style="248" customWidth="1"/>
    <col min="2311" max="2311" width="19.85546875" style="248" customWidth="1"/>
    <col min="2312" max="2312" width="22.28515625" style="248" customWidth="1"/>
    <col min="2313" max="2314" width="15" style="248" customWidth="1"/>
    <col min="2315" max="2316" width="9.140625" style="248"/>
    <col min="2317" max="2317" width="14.28515625" style="248" customWidth="1"/>
    <col min="2318" max="2318" width="13.140625" style="248" customWidth="1"/>
    <col min="2319" max="2561" width="9.140625" style="248"/>
    <col min="2562" max="2562" width="49.28515625" style="248" customWidth="1"/>
    <col min="2563" max="2563" width="18.5703125" style="248" customWidth="1"/>
    <col min="2564" max="2564" width="22.85546875" style="248" customWidth="1"/>
    <col min="2565" max="2565" width="14.28515625" style="248" customWidth="1"/>
    <col min="2566" max="2566" width="13.140625" style="248" customWidth="1"/>
    <col min="2567" max="2567" width="19.85546875" style="248" customWidth="1"/>
    <col min="2568" max="2568" width="22.28515625" style="248" customWidth="1"/>
    <col min="2569" max="2570" width="15" style="248" customWidth="1"/>
    <col min="2571" max="2572" width="9.140625" style="248"/>
    <col min="2573" max="2573" width="14.28515625" style="248" customWidth="1"/>
    <col min="2574" max="2574" width="13.140625" style="248" customWidth="1"/>
    <col min="2575" max="2817" width="9.140625" style="248"/>
    <col min="2818" max="2818" width="49.28515625" style="248" customWidth="1"/>
    <col min="2819" max="2819" width="18.5703125" style="248" customWidth="1"/>
    <col min="2820" max="2820" width="22.85546875" style="248" customWidth="1"/>
    <col min="2821" max="2821" width="14.28515625" style="248" customWidth="1"/>
    <col min="2822" max="2822" width="13.140625" style="248" customWidth="1"/>
    <col min="2823" max="2823" width="19.85546875" style="248" customWidth="1"/>
    <col min="2824" max="2824" width="22.28515625" style="248" customWidth="1"/>
    <col min="2825" max="2826" width="15" style="248" customWidth="1"/>
    <col min="2827" max="2828" width="9.140625" style="248"/>
    <col min="2829" max="2829" width="14.28515625" style="248" customWidth="1"/>
    <col min="2830" max="2830" width="13.140625" style="248" customWidth="1"/>
    <col min="2831" max="3073" width="9.140625" style="248"/>
    <col min="3074" max="3074" width="49.28515625" style="248" customWidth="1"/>
    <col min="3075" max="3075" width="18.5703125" style="248" customWidth="1"/>
    <col min="3076" max="3076" width="22.85546875" style="248" customWidth="1"/>
    <col min="3077" max="3077" width="14.28515625" style="248" customWidth="1"/>
    <col min="3078" max="3078" width="13.140625" style="248" customWidth="1"/>
    <col min="3079" max="3079" width="19.85546875" style="248" customWidth="1"/>
    <col min="3080" max="3080" width="22.28515625" style="248" customWidth="1"/>
    <col min="3081" max="3082" width="15" style="248" customWidth="1"/>
    <col min="3083" max="3084" width="9.140625" style="248"/>
    <col min="3085" max="3085" width="14.28515625" style="248" customWidth="1"/>
    <col min="3086" max="3086" width="13.140625" style="248" customWidth="1"/>
    <col min="3087" max="3329" width="9.140625" style="248"/>
    <col min="3330" max="3330" width="49.28515625" style="248" customWidth="1"/>
    <col min="3331" max="3331" width="18.5703125" style="248" customWidth="1"/>
    <col min="3332" max="3332" width="22.85546875" style="248" customWidth="1"/>
    <col min="3333" max="3333" width="14.28515625" style="248" customWidth="1"/>
    <col min="3334" max="3334" width="13.140625" style="248" customWidth="1"/>
    <col min="3335" max="3335" width="19.85546875" style="248" customWidth="1"/>
    <col min="3336" max="3336" width="22.28515625" style="248" customWidth="1"/>
    <col min="3337" max="3338" width="15" style="248" customWidth="1"/>
    <col min="3339" max="3340" width="9.140625" style="248"/>
    <col min="3341" max="3341" width="14.28515625" style="248" customWidth="1"/>
    <col min="3342" max="3342" width="13.140625" style="248" customWidth="1"/>
    <col min="3343" max="3585" width="9.140625" style="248"/>
    <col min="3586" max="3586" width="49.28515625" style="248" customWidth="1"/>
    <col min="3587" max="3587" width="18.5703125" style="248" customWidth="1"/>
    <col min="3588" max="3588" width="22.85546875" style="248" customWidth="1"/>
    <col min="3589" max="3589" width="14.28515625" style="248" customWidth="1"/>
    <col min="3590" max="3590" width="13.140625" style="248" customWidth="1"/>
    <col min="3591" max="3591" width="19.85546875" style="248" customWidth="1"/>
    <col min="3592" max="3592" width="22.28515625" style="248" customWidth="1"/>
    <col min="3593" max="3594" width="15" style="248" customWidth="1"/>
    <col min="3595" max="3596" width="9.140625" style="248"/>
    <col min="3597" max="3597" width="14.28515625" style="248" customWidth="1"/>
    <col min="3598" max="3598" width="13.140625" style="248" customWidth="1"/>
    <col min="3599" max="3841" width="9.140625" style="248"/>
    <col min="3842" max="3842" width="49.28515625" style="248" customWidth="1"/>
    <col min="3843" max="3843" width="18.5703125" style="248" customWidth="1"/>
    <col min="3844" max="3844" width="22.85546875" style="248" customWidth="1"/>
    <col min="3845" max="3845" width="14.28515625" style="248" customWidth="1"/>
    <col min="3846" max="3846" width="13.140625" style="248" customWidth="1"/>
    <col min="3847" max="3847" width="19.85546875" style="248" customWidth="1"/>
    <col min="3848" max="3848" width="22.28515625" style="248" customWidth="1"/>
    <col min="3849" max="3850" width="15" style="248" customWidth="1"/>
    <col min="3851" max="3852" width="9.140625" style="248"/>
    <col min="3853" max="3853" width="14.28515625" style="248" customWidth="1"/>
    <col min="3854" max="3854" width="13.140625" style="248" customWidth="1"/>
    <col min="3855" max="4097" width="9.140625" style="248"/>
    <col min="4098" max="4098" width="49.28515625" style="248" customWidth="1"/>
    <col min="4099" max="4099" width="18.5703125" style="248" customWidth="1"/>
    <col min="4100" max="4100" width="22.85546875" style="248" customWidth="1"/>
    <col min="4101" max="4101" width="14.28515625" style="248" customWidth="1"/>
    <col min="4102" max="4102" width="13.140625" style="248" customWidth="1"/>
    <col min="4103" max="4103" width="19.85546875" style="248" customWidth="1"/>
    <col min="4104" max="4104" width="22.28515625" style="248" customWidth="1"/>
    <col min="4105" max="4106" width="15" style="248" customWidth="1"/>
    <col min="4107" max="4108" width="9.140625" style="248"/>
    <col min="4109" max="4109" width="14.28515625" style="248" customWidth="1"/>
    <col min="4110" max="4110" width="13.140625" style="248" customWidth="1"/>
    <col min="4111" max="4353" width="9.140625" style="248"/>
    <col min="4354" max="4354" width="49.28515625" style="248" customWidth="1"/>
    <col min="4355" max="4355" width="18.5703125" style="248" customWidth="1"/>
    <col min="4356" max="4356" width="22.85546875" style="248" customWidth="1"/>
    <col min="4357" max="4357" width="14.28515625" style="248" customWidth="1"/>
    <col min="4358" max="4358" width="13.140625" style="248" customWidth="1"/>
    <col min="4359" max="4359" width="19.85546875" style="248" customWidth="1"/>
    <col min="4360" max="4360" width="22.28515625" style="248" customWidth="1"/>
    <col min="4361" max="4362" width="15" style="248" customWidth="1"/>
    <col min="4363" max="4364" width="9.140625" style="248"/>
    <col min="4365" max="4365" width="14.28515625" style="248" customWidth="1"/>
    <col min="4366" max="4366" width="13.140625" style="248" customWidth="1"/>
    <col min="4367" max="4609" width="9.140625" style="248"/>
    <col min="4610" max="4610" width="49.28515625" style="248" customWidth="1"/>
    <col min="4611" max="4611" width="18.5703125" style="248" customWidth="1"/>
    <col min="4612" max="4612" width="22.85546875" style="248" customWidth="1"/>
    <col min="4613" max="4613" width="14.28515625" style="248" customWidth="1"/>
    <col min="4614" max="4614" width="13.140625" style="248" customWidth="1"/>
    <col min="4615" max="4615" width="19.85546875" style="248" customWidth="1"/>
    <col min="4616" max="4616" width="22.28515625" style="248" customWidth="1"/>
    <col min="4617" max="4618" width="15" style="248" customWidth="1"/>
    <col min="4619" max="4620" width="9.140625" style="248"/>
    <col min="4621" max="4621" width="14.28515625" style="248" customWidth="1"/>
    <col min="4622" max="4622" width="13.140625" style="248" customWidth="1"/>
    <col min="4623" max="4865" width="9.140625" style="248"/>
    <col min="4866" max="4866" width="49.28515625" style="248" customWidth="1"/>
    <col min="4867" max="4867" width="18.5703125" style="248" customWidth="1"/>
    <col min="4868" max="4868" width="22.85546875" style="248" customWidth="1"/>
    <col min="4869" max="4869" width="14.28515625" style="248" customWidth="1"/>
    <col min="4870" max="4870" width="13.140625" style="248" customWidth="1"/>
    <col min="4871" max="4871" width="19.85546875" style="248" customWidth="1"/>
    <col min="4872" max="4872" width="22.28515625" style="248" customWidth="1"/>
    <col min="4873" max="4874" width="15" style="248" customWidth="1"/>
    <col min="4875" max="4876" width="9.140625" style="248"/>
    <col min="4877" max="4877" width="14.28515625" style="248" customWidth="1"/>
    <col min="4878" max="4878" width="13.140625" style="248" customWidth="1"/>
    <col min="4879" max="5121" width="9.140625" style="248"/>
    <col min="5122" max="5122" width="49.28515625" style="248" customWidth="1"/>
    <col min="5123" max="5123" width="18.5703125" style="248" customWidth="1"/>
    <col min="5124" max="5124" width="22.85546875" style="248" customWidth="1"/>
    <col min="5125" max="5125" width="14.28515625" style="248" customWidth="1"/>
    <col min="5126" max="5126" width="13.140625" style="248" customWidth="1"/>
    <col min="5127" max="5127" width="19.85546875" style="248" customWidth="1"/>
    <col min="5128" max="5128" width="22.28515625" style="248" customWidth="1"/>
    <col min="5129" max="5130" width="15" style="248" customWidth="1"/>
    <col min="5131" max="5132" width="9.140625" style="248"/>
    <col min="5133" max="5133" width="14.28515625" style="248" customWidth="1"/>
    <col min="5134" max="5134" width="13.140625" style="248" customWidth="1"/>
    <col min="5135" max="5377" width="9.140625" style="248"/>
    <col min="5378" max="5378" width="49.28515625" style="248" customWidth="1"/>
    <col min="5379" max="5379" width="18.5703125" style="248" customWidth="1"/>
    <col min="5380" max="5380" width="22.85546875" style="248" customWidth="1"/>
    <col min="5381" max="5381" width="14.28515625" style="248" customWidth="1"/>
    <col min="5382" max="5382" width="13.140625" style="248" customWidth="1"/>
    <col min="5383" max="5383" width="19.85546875" style="248" customWidth="1"/>
    <col min="5384" max="5384" width="22.28515625" style="248" customWidth="1"/>
    <col min="5385" max="5386" width="15" style="248" customWidth="1"/>
    <col min="5387" max="5388" width="9.140625" style="248"/>
    <col min="5389" max="5389" width="14.28515625" style="248" customWidth="1"/>
    <col min="5390" max="5390" width="13.140625" style="248" customWidth="1"/>
    <col min="5391" max="5633" width="9.140625" style="248"/>
    <col min="5634" max="5634" width="49.28515625" style="248" customWidth="1"/>
    <col min="5635" max="5635" width="18.5703125" style="248" customWidth="1"/>
    <col min="5636" max="5636" width="22.85546875" style="248" customWidth="1"/>
    <col min="5637" max="5637" width="14.28515625" style="248" customWidth="1"/>
    <col min="5638" max="5638" width="13.140625" style="248" customWidth="1"/>
    <col min="5639" max="5639" width="19.85546875" style="248" customWidth="1"/>
    <col min="5640" max="5640" width="22.28515625" style="248" customWidth="1"/>
    <col min="5641" max="5642" width="15" style="248" customWidth="1"/>
    <col min="5643" max="5644" width="9.140625" style="248"/>
    <col min="5645" max="5645" width="14.28515625" style="248" customWidth="1"/>
    <col min="5646" max="5646" width="13.140625" style="248" customWidth="1"/>
    <col min="5647" max="5889" width="9.140625" style="248"/>
    <col min="5890" max="5890" width="49.28515625" style="248" customWidth="1"/>
    <col min="5891" max="5891" width="18.5703125" style="248" customWidth="1"/>
    <col min="5892" max="5892" width="22.85546875" style="248" customWidth="1"/>
    <col min="5893" max="5893" width="14.28515625" style="248" customWidth="1"/>
    <col min="5894" max="5894" width="13.140625" style="248" customWidth="1"/>
    <col min="5895" max="5895" width="19.85546875" style="248" customWidth="1"/>
    <col min="5896" max="5896" width="22.28515625" style="248" customWidth="1"/>
    <col min="5897" max="5898" width="15" style="248" customWidth="1"/>
    <col min="5899" max="5900" width="9.140625" style="248"/>
    <col min="5901" max="5901" width="14.28515625" style="248" customWidth="1"/>
    <col min="5902" max="5902" width="13.140625" style="248" customWidth="1"/>
    <col min="5903" max="6145" width="9.140625" style="248"/>
    <col min="6146" max="6146" width="49.28515625" style="248" customWidth="1"/>
    <col min="6147" max="6147" width="18.5703125" style="248" customWidth="1"/>
    <col min="6148" max="6148" width="22.85546875" style="248" customWidth="1"/>
    <col min="6149" max="6149" width="14.28515625" style="248" customWidth="1"/>
    <col min="6150" max="6150" width="13.140625" style="248" customWidth="1"/>
    <col min="6151" max="6151" width="19.85546875" style="248" customWidth="1"/>
    <col min="6152" max="6152" width="22.28515625" style="248" customWidth="1"/>
    <col min="6153" max="6154" width="15" style="248" customWidth="1"/>
    <col min="6155" max="6156" width="9.140625" style="248"/>
    <col min="6157" max="6157" width="14.28515625" style="248" customWidth="1"/>
    <col min="6158" max="6158" width="13.140625" style="248" customWidth="1"/>
    <col min="6159" max="6401" width="9.140625" style="248"/>
    <col min="6402" max="6402" width="49.28515625" style="248" customWidth="1"/>
    <col min="6403" max="6403" width="18.5703125" style="248" customWidth="1"/>
    <col min="6404" max="6404" width="22.85546875" style="248" customWidth="1"/>
    <col min="6405" max="6405" width="14.28515625" style="248" customWidth="1"/>
    <col min="6406" max="6406" width="13.140625" style="248" customWidth="1"/>
    <col min="6407" max="6407" width="19.85546875" style="248" customWidth="1"/>
    <col min="6408" max="6408" width="22.28515625" style="248" customWidth="1"/>
    <col min="6409" max="6410" width="15" style="248" customWidth="1"/>
    <col min="6411" max="6412" width="9.140625" style="248"/>
    <col min="6413" max="6413" width="14.28515625" style="248" customWidth="1"/>
    <col min="6414" max="6414" width="13.140625" style="248" customWidth="1"/>
    <col min="6415" max="6657" width="9.140625" style="248"/>
    <col min="6658" max="6658" width="49.28515625" style="248" customWidth="1"/>
    <col min="6659" max="6659" width="18.5703125" style="248" customWidth="1"/>
    <col min="6660" max="6660" width="22.85546875" style="248" customWidth="1"/>
    <col min="6661" max="6661" width="14.28515625" style="248" customWidth="1"/>
    <col min="6662" max="6662" width="13.140625" style="248" customWidth="1"/>
    <col min="6663" max="6663" width="19.85546875" style="248" customWidth="1"/>
    <col min="6664" max="6664" width="22.28515625" style="248" customWidth="1"/>
    <col min="6665" max="6666" width="15" style="248" customWidth="1"/>
    <col min="6667" max="6668" width="9.140625" style="248"/>
    <col min="6669" max="6669" width="14.28515625" style="248" customWidth="1"/>
    <col min="6670" max="6670" width="13.140625" style="248" customWidth="1"/>
    <col min="6671" max="6913" width="9.140625" style="248"/>
    <col min="6914" max="6914" width="49.28515625" style="248" customWidth="1"/>
    <col min="6915" max="6915" width="18.5703125" style="248" customWidth="1"/>
    <col min="6916" max="6916" width="22.85546875" style="248" customWidth="1"/>
    <col min="6917" max="6917" width="14.28515625" style="248" customWidth="1"/>
    <col min="6918" max="6918" width="13.140625" style="248" customWidth="1"/>
    <col min="6919" max="6919" width="19.85546875" style="248" customWidth="1"/>
    <col min="6920" max="6920" width="22.28515625" style="248" customWidth="1"/>
    <col min="6921" max="6922" width="15" style="248" customWidth="1"/>
    <col min="6923" max="6924" width="9.140625" style="248"/>
    <col min="6925" max="6925" width="14.28515625" style="248" customWidth="1"/>
    <col min="6926" max="6926" width="13.140625" style="248" customWidth="1"/>
    <col min="6927" max="7169" width="9.140625" style="248"/>
    <col min="7170" max="7170" width="49.28515625" style="248" customWidth="1"/>
    <col min="7171" max="7171" width="18.5703125" style="248" customWidth="1"/>
    <col min="7172" max="7172" width="22.85546875" style="248" customWidth="1"/>
    <col min="7173" max="7173" width="14.28515625" style="248" customWidth="1"/>
    <col min="7174" max="7174" width="13.140625" style="248" customWidth="1"/>
    <col min="7175" max="7175" width="19.85546875" style="248" customWidth="1"/>
    <col min="7176" max="7176" width="22.28515625" style="248" customWidth="1"/>
    <col min="7177" max="7178" width="15" style="248" customWidth="1"/>
    <col min="7179" max="7180" width="9.140625" style="248"/>
    <col min="7181" max="7181" width="14.28515625" style="248" customWidth="1"/>
    <col min="7182" max="7182" width="13.140625" style="248" customWidth="1"/>
    <col min="7183" max="7425" width="9.140625" style="248"/>
    <col min="7426" max="7426" width="49.28515625" style="248" customWidth="1"/>
    <col min="7427" max="7427" width="18.5703125" style="248" customWidth="1"/>
    <col min="7428" max="7428" width="22.85546875" style="248" customWidth="1"/>
    <col min="7429" max="7429" width="14.28515625" style="248" customWidth="1"/>
    <col min="7430" max="7430" width="13.140625" style="248" customWidth="1"/>
    <col min="7431" max="7431" width="19.85546875" style="248" customWidth="1"/>
    <col min="7432" max="7432" width="22.28515625" style="248" customWidth="1"/>
    <col min="7433" max="7434" width="15" style="248" customWidth="1"/>
    <col min="7435" max="7436" width="9.140625" style="248"/>
    <col min="7437" max="7437" width="14.28515625" style="248" customWidth="1"/>
    <col min="7438" max="7438" width="13.140625" style="248" customWidth="1"/>
    <col min="7439" max="7681" width="9.140625" style="248"/>
    <col min="7682" max="7682" width="49.28515625" style="248" customWidth="1"/>
    <col min="7683" max="7683" width="18.5703125" style="248" customWidth="1"/>
    <col min="7684" max="7684" width="22.85546875" style="248" customWidth="1"/>
    <col min="7685" max="7685" width="14.28515625" style="248" customWidth="1"/>
    <col min="7686" max="7686" width="13.140625" style="248" customWidth="1"/>
    <col min="7687" max="7687" width="19.85546875" style="248" customWidth="1"/>
    <col min="7688" max="7688" width="22.28515625" style="248" customWidth="1"/>
    <col min="7689" max="7690" width="15" style="248" customWidth="1"/>
    <col min="7691" max="7692" width="9.140625" style="248"/>
    <col min="7693" max="7693" width="14.28515625" style="248" customWidth="1"/>
    <col min="7694" max="7694" width="13.140625" style="248" customWidth="1"/>
    <col min="7695" max="7937" width="9.140625" style="248"/>
    <col min="7938" max="7938" width="49.28515625" style="248" customWidth="1"/>
    <col min="7939" max="7939" width="18.5703125" style="248" customWidth="1"/>
    <col min="7940" max="7940" width="22.85546875" style="248" customWidth="1"/>
    <col min="7941" max="7941" width="14.28515625" style="248" customWidth="1"/>
    <col min="7942" max="7942" width="13.140625" style="248" customWidth="1"/>
    <col min="7943" max="7943" width="19.85546875" style="248" customWidth="1"/>
    <col min="7944" max="7944" width="22.28515625" style="248" customWidth="1"/>
    <col min="7945" max="7946" width="15" style="248" customWidth="1"/>
    <col min="7947" max="7948" width="9.140625" style="248"/>
    <col min="7949" max="7949" width="14.28515625" style="248" customWidth="1"/>
    <col min="7950" max="7950" width="13.140625" style="248" customWidth="1"/>
    <col min="7951" max="8193" width="9.140625" style="248"/>
    <col min="8194" max="8194" width="49.28515625" style="248" customWidth="1"/>
    <col min="8195" max="8195" width="18.5703125" style="248" customWidth="1"/>
    <col min="8196" max="8196" width="22.85546875" style="248" customWidth="1"/>
    <col min="8197" max="8197" width="14.28515625" style="248" customWidth="1"/>
    <col min="8198" max="8198" width="13.140625" style="248" customWidth="1"/>
    <col min="8199" max="8199" width="19.85546875" style="248" customWidth="1"/>
    <col min="8200" max="8200" width="22.28515625" style="248" customWidth="1"/>
    <col min="8201" max="8202" width="15" style="248" customWidth="1"/>
    <col min="8203" max="8204" width="9.140625" style="248"/>
    <col min="8205" max="8205" width="14.28515625" style="248" customWidth="1"/>
    <col min="8206" max="8206" width="13.140625" style="248" customWidth="1"/>
    <col min="8207" max="8449" width="9.140625" style="248"/>
    <col min="8450" max="8450" width="49.28515625" style="248" customWidth="1"/>
    <col min="8451" max="8451" width="18.5703125" style="248" customWidth="1"/>
    <col min="8452" max="8452" width="22.85546875" style="248" customWidth="1"/>
    <col min="8453" max="8453" width="14.28515625" style="248" customWidth="1"/>
    <col min="8454" max="8454" width="13.140625" style="248" customWidth="1"/>
    <col min="8455" max="8455" width="19.85546875" style="248" customWidth="1"/>
    <col min="8456" max="8456" width="22.28515625" style="248" customWidth="1"/>
    <col min="8457" max="8458" width="15" style="248" customWidth="1"/>
    <col min="8459" max="8460" width="9.140625" style="248"/>
    <col min="8461" max="8461" width="14.28515625" style="248" customWidth="1"/>
    <col min="8462" max="8462" width="13.140625" style="248" customWidth="1"/>
    <col min="8463" max="8705" width="9.140625" style="248"/>
    <col min="8706" max="8706" width="49.28515625" style="248" customWidth="1"/>
    <col min="8707" max="8707" width="18.5703125" style="248" customWidth="1"/>
    <col min="8708" max="8708" width="22.85546875" style="248" customWidth="1"/>
    <col min="8709" max="8709" width="14.28515625" style="248" customWidth="1"/>
    <col min="8710" max="8710" width="13.140625" style="248" customWidth="1"/>
    <col min="8711" max="8711" width="19.85546875" style="248" customWidth="1"/>
    <col min="8712" max="8712" width="22.28515625" style="248" customWidth="1"/>
    <col min="8713" max="8714" width="15" style="248" customWidth="1"/>
    <col min="8715" max="8716" width="9.140625" style="248"/>
    <col min="8717" max="8717" width="14.28515625" style="248" customWidth="1"/>
    <col min="8718" max="8718" width="13.140625" style="248" customWidth="1"/>
    <col min="8719" max="8961" width="9.140625" style="248"/>
    <col min="8962" max="8962" width="49.28515625" style="248" customWidth="1"/>
    <col min="8963" max="8963" width="18.5703125" style="248" customWidth="1"/>
    <col min="8964" max="8964" width="22.85546875" style="248" customWidth="1"/>
    <col min="8965" max="8965" width="14.28515625" style="248" customWidth="1"/>
    <col min="8966" max="8966" width="13.140625" style="248" customWidth="1"/>
    <col min="8967" max="8967" width="19.85546875" style="248" customWidth="1"/>
    <col min="8968" max="8968" width="22.28515625" style="248" customWidth="1"/>
    <col min="8969" max="8970" width="15" style="248" customWidth="1"/>
    <col min="8971" max="8972" width="9.140625" style="248"/>
    <col min="8973" max="8973" width="14.28515625" style="248" customWidth="1"/>
    <col min="8974" max="8974" width="13.140625" style="248" customWidth="1"/>
    <col min="8975" max="9217" width="9.140625" style="248"/>
    <col min="9218" max="9218" width="49.28515625" style="248" customWidth="1"/>
    <col min="9219" max="9219" width="18.5703125" style="248" customWidth="1"/>
    <col min="9220" max="9220" width="22.85546875" style="248" customWidth="1"/>
    <col min="9221" max="9221" width="14.28515625" style="248" customWidth="1"/>
    <col min="9222" max="9222" width="13.140625" style="248" customWidth="1"/>
    <col min="9223" max="9223" width="19.85546875" style="248" customWidth="1"/>
    <col min="9224" max="9224" width="22.28515625" style="248" customWidth="1"/>
    <col min="9225" max="9226" width="15" style="248" customWidth="1"/>
    <col min="9227" max="9228" width="9.140625" style="248"/>
    <col min="9229" max="9229" width="14.28515625" style="248" customWidth="1"/>
    <col min="9230" max="9230" width="13.140625" style="248" customWidth="1"/>
    <col min="9231" max="9473" width="9.140625" style="248"/>
    <col min="9474" max="9474" width="49.28515625" style="248" customWidth="1"/>
    <col min="9475" max="9475" width="18.5703125" style="248" customWidth="1"/>
    <col min="9476" max="9476" width="22.85546875" style="248" customWidth="1"/>
    <col min="9477" max="9477" width="14.28515625" style="248" customWidth="1"/>
    <col min="9478" max="9478" width="13.140625" style="248" customWidth="1"/>
    <col min="9479" max="9479" width="19.85546875" style="248" customWidth="1"/>
    <col min="9480" max="9480" width="22.28515625" style="248" customWidth="1"/>
    <col min="9481" max="9482" width="15" style="248" customWidth="1"/>
    <col min="9483" max="9484" width="9.140625" style="248"/>
    <col min="9485" max="9485" width="14.28515625" style="248" customWidth="1"/>
    <col min="9486" max="9486" width="13.140625" style="248" customWidth="1"/>
    <col min="9487" max="9729" width="9.140625" style="248"/>
    <col min="9730" max="9730" width="49.28515625" style="248" customWidth="1"/>
    <col min="9731" max="9731" width="18.5703125" style="248" customWidth="1"/>
    <col min="9732" max="9732" width="22.85546875" style="248" customWidth="1"/>
    <col min="9733" max="9733" width="14.28515625" style="248" customWidth="1"/>
    <col min="9734" max="9734" width="13.140625" style="248" customWidth="1"/>
    <col min="9735" max="9735" width="19.85546875" style="248" customWidth="1"/>
    <col min="9736" max="9736" width="22.28515625" style="248" customWidth="1"/>
    <col min="9737" max="9738" width="15" style="248" customWidth="1"/>
    <col min="9739" max="9740" width="9.140625" style="248"/>
    <col min="9741" max="9741" width="14.28515625" style="248" customWidth="1"/>
    <col min="9742" max="9742" width="13.140625" style="248" customWidth="1"/>
    <col min="9743" max="9985" width="9.140625" style="248"/>
    <col min="9986" max="9986" width="49.28515625" style="248" customWidth="1"/>
    <col min="9987" max="9987" width="18.5703125" style="248" customWidth="1"/>
    <col min="9988" max="9988" width="22.85546875" style="248" customWidth="1"/>
    <col min="9989" max="9989" width="14.28515625" style="248" customWidth="1"/>
    <col min="9990" max="9990" width="13.140625" style="248" customWidth="1"/>
    <col min="9991" max="9991" width="19.85546875" style="248" customWidth="1"/>
    <col min="9992" max="9992" width="22.28515625" style="248" customWidth="1"/>
    <col min="9993" max="9994" width="15" style="248" customWidth="1"/>
    <col min="9995" max="9996" width="9.140625" style="248"/>
    <col min="9997" max="9997" width="14.28515625" style="248" customWidth="1"/>
    <col min="9998" max="9998" width="13.140625" style="248" customWidth="1"/>
    <col min="9999" max="10241" width="9.140625" style="248"/>
    <col min="10242" max="10242" width="49.28515625" style="248" customWidth="1"/>
    <col min="10243" max="10243" width="18.5703125" style="248" customWidth="1"/>
    <col min="10244" max="10244" width="22.85546875" style="248" customWidth="1"/>
    <col min="10245" max="10245" width="14.28515625" style="248" customWidth="1"/>
    <col min="10246" max="10246" width="13.140625" style="248" customWidth="1"/>
    <col min="10247" max="10247" width="19.85546875" style="248" customWidth="1"/>
    <col min="10248" max="10248" width="22.28515625" style="248" customWidth="1"/>
    <col min="10249" max="10250" width="15" style="248" customWidth="1"/>
    <col min="10251" max="10252" width="9.140625" style="248"/>
    <col min="10253" max="10253" width="14.28515625" style="248" customWidth="1"/>
    <col min="10254" max="10254" width="13.140625" style="248" customWidth="1"/>
    <col min="10255" max="10497" width="9.140625" style="248"/>
    <col min="10498" max="10498" width="49.28515625" style="248" customWidth="1"/>
    <col min="10499" max="10499" width="18.5703125" style="248" customWidth="1"/>
    <col min="10500" max="10500" width="22.85546875" style="248" customWidth="1"/>
    <col min="10501" max="10501" width="14.28515625" style="248" customWidth="1"/>
    <col min="10502" max="10502" width="13.140625" style="248" customWidth="1"/>
    <col min="10503" max="10503" width="19.85546875" style="248" customWidth="1"/>
    <col min="10504" max="10504" width="22.28515625" style="248" customWidth="1"/>
    <col min="10505" max="10506" width="15" style="248" customWidth="1"/>
    <col min="10507" max="10508" width="9.140625" style="248"/>
    <col min="10509" max="10509" width="14.28515625" style="248" customWidth="1"/>
    <col min="10510" max="10510" width="13.140625" style="248" customWidth="1"/>
    <col min="10511" max="10753" width="9.140625" style="248"/>
    <col min="10754" max="10754" width="49.28515625" style="248" customWidth="1"/>
    <col min="10755" max="10755" width="18.5703125" style="248" customWidth="1"/>
    <col min="10756" max="10756" width="22.85546875" style="248" customWidth="1"/>
    <col min="10757" max="10757" width="14.28515625" style="248" customWidth="1"/>
    <col min="10758" max="10758" width="13.140625" style="248" customWidth="1"/>
    <col min="10759" max="10759" width="19.85546875" style="248" customWidth="1"/>
    <col min="10760" max="10760" width="22.28515625" style="248" customWidth="1"/>
    <col min="10761" max="10762" width="15" style="248" customWidth="1"/>
    <col min="10763" max="10764" width="9.140625" style="248"/>
    <col min="10765" max="10765" width="14.28515625" style="248" customWidth="1"/>
    <col min="10766" max="10766" width="13.140625" style="248" customWidth="1"/>
    <col min="10767" max="11009" width="9.140625" style="248"/>
    <col min="11010" max="11010" width="49.28515625" style="248" customWidth="1"/>
    <col min="11011" max="11011" width="18.5703125" style="248" customWidth="1"/>
    <col min="11012" max="11012" width="22.85546875" style="248" customWidth="1"/>
    <col min="11013" max="11013" width="14.28515625" style="248" customWidth="1"/>
    <col min="11014" max="11014" width="13.140625" style="248" customWidth="1"/>
    <col min="11015" max="11015" width="19.85546875" style="248" customWidth="1"/>
    <col min="11016" max="11016" width="22.28515625" style="248" customWidth="1"/>
    <col min="11017" max="11018" width="15" style="248" customWidth="1"/>
    <col min="11019" max="11020" width="9.140625" style="248"/>
    <col min="11021" max="11021" width="14.28515625" style="248" customWidth="1"/>
    <col min="11022" max="11022" width="13.140625" style="248" customWidth="1"/>
    <col min="11023" max="11265" width="9.140625" style="248"/>
    <col min="11266" max="11266" width="49.28515625" style="248" customWidth="1"/>
    <col min="11267" max="11267" width="18.5703125" style="248" customWidth="1"/>
    <col min="11268" max="11268" width="22.85546875" style="248" customWidth="1"/>
    <col min="11269" max="11269" width="14.28515625" style="248" customWidth="1"/>
    <col min="11270" max="11270" width="13.140625" style="248" customWidth="1"/>
    <col min="11271" max="11271" width="19.85546875" style="248" customWidth="1"/>
    <col min="11272" max="11272" width="22.28515625" style="248" customWidth="1"/>
    <col min="11273" max="11274" width="15" style="248" customWidth="1"/>
    <col min="11275" max="11276" width="9.140625" style="248"/>
    <col min="11277" max="11277" width="14.28515625" style="248" customWidth="1"/>
    <col min="11278" max="11278" width="13.140625" style="248" customWidth="1"/>
    <col min="11279" max="11521" width="9.140625" style="248"/>
    <col min="11522" max="11522" width="49.28515625" style="248" customWidth="1"/>
    <col min="11523" max="11523" width="18.5703125" style="248" customWidth="1"/>
    <col min="11524" max="11524" width="22.85546875" style="248" customWidth="1"/>
    <col min="11525" max="11525" width="14.28515625" style="248" customWidth="1"/>
    <col min="11526" max="11526" width="13.140625" style="248" customWidth="1"/>
    <col min="11527" max="11527" width="19.85546875" style="248" customWidth="1"/>
    <col min="11528" max="11528" width="22.28515625" style="248" customWidth="1"/>
    <col min="11529" max="11530" width="15" style="248" customWidth="1"/>
    <col min="11531" max="11532" width="9.140625" style="248"/>
    <col min="11533" max="11533" width="14.28515625" style="248" customWidth="1"/>
    <col min="11534" max="11534" width="13.140625" style="248" customWidth="1"/>
    <col min="11535" max="11777" width="9.140625" style="248"/>
    <col min="11778" max="11778" width="49.28515625" style="248" customWidth="1"/>
    <col min="11779" max="11779" width="18.5703125" style="248" customWidth="1"/>
    <col min="11780" max="11780" width="22.85546875" style="248" customWidth="1"/>
    <col min="11781" max="11781" width="14.28515625" style="248" customWidth="1"/>
    <col min="11782" max="11782" width="13.140625" style="248" customWidth="1"/>
    <col min="11783" max="11783" width="19.85546875" style="248" customWidth="1"/>
    <col min="11784" max="11784" width="22.28515625" style="248" customWidth="1"/>
    <col min="11785" max="11786" width="15" style="248" customWidth="1"/>
    <col min="11787" max="11788" width="9.140625" style="248"/>
    <col min="11789" max="11789" width="14.28515625" style="248" customWidth="1"/>
    <col min="11790" max="11790" width="13.140625" style="248" customWidth="1"/>
    <col min="11791" max="12033" width="9.140625" style="248"/>
    <col min="12034" max="12034" width="49.28515625" style="248" customWidth="1"/>
    <col min="12035" max="12035" width="18.5703125" style="248" customWidth="1"/>
    <col min="12036" max="12036" width="22.85546875" style="248" customWidth="1"/>
    <col min="12037" max="12037" width="14.28515625" style="248" customWidth="1"/>
    <col min="12038" max="12038" width="13.140625" style="248" customWidth="1"/>
    <col min="12039" max="12039" width="19.85546875" style="248" customWidth="1"/>
    <col min="12040" max="12040" width="22.28515625" style="248" customWidth="1"/>
    <col min="12041" max="12042" width="15" style="248" customWidth="1"/>
    <col min="12043" max="12044" width="9.140625" style="248"/>
    <col min="12045" max="12045" width="14.28515625" style="248" customWidth="1"/>
    <col min="12046" max="12046" width="13.140625" style="248" customWidth="1"/>
    <col min="12047" max="12289" width="9.140625" style="248"/>
    <col min="12290" max="12290" width="49.28515625" style="248" customWidth="1"/>
    <col min="12291" max="12291" width="18.5703125" style="248" customWidth="1"/>
    <col min="12292" max="12292" width="22.85546875" style="248" customWidth="1"/>
    <col min="12293" max="12293" width="14.28515625" style="248" customWidth="1"/>
    <col min="12294" max="12294" width="13.140625" style="248" customWidth="1"/>
    <col min="12295" max="12295" width="19.85546875" style="248" customWidth="1"/>
    <col min="12296" max="12296" width="22.28515625" style="248" customWidth="1"/>
    <col min="12297" max="12298" width="15" style="248" customWidth="1"/>
    <col min="12299" max="12300" width="9.140625" style="248"/>
    <col min="12301" max="12301" width="14.28515625" style="248" customWidth="1"/>
    <col min="12302" max="12302" width="13.140625" style="248" customWidth="1"/>
    <col min="12303" max="12545" width="9.140625" style="248"/>
    <col min="12546" max="12546" width="49.28515625" style="248" customWidth="1"/>
    <col min="12547" max="12547" width="18.5703125" style="248" customWidth="1"/>
    <col min="12548" max="12548" width="22.85546875" style="248" customWidth="1"/>
    <col min="12549" max="12549" width="14.28515625" style="248" customWidth="1"/>
    <col min="12550" max="12550" width="13.140625" style="248" customWidth="1"/>
    <col min="12551" max="12551" width="19.85546875" style="248" customWidth="1"/>
    <col min="12552" max="12552" width="22.28515625" style="248" customWidth="1"/>
    <col min="12553" max="12554" width="15" style="248" customWidth="1"/>
    <col min="12555" max="12556" width="9.140625" style="248"/>
    <col min="12557" max="12557" width="14.28515625" style="248" customWidth="1"/>
    <col min="12558" max="12558" width="13.140625" style="248" customWidth="1"/>
    <col min="12559" max="12801" width="9.140625" style="248"/>
    <col min="12802" max="12802" width="49.28515625" style="248" customWidth="1"/>
    <col min="12803" max="12803" width="18.5703125" style="248" customWidth="1"/>
    <col min="12804" max="12804" width="22.85546875" style="248" customWidth="1"/>
    <col min="12805" max="12805" width="14.28515625" style="248" customWidth="1"/>
    <col min="12806" max="12806" width="13.140625" style="248" customWidth="1"/>
    <col min="12807" max="12807" width="19.85546875" style="248" customWidth="1"/>
    <col min="12808" max="12808" width="22.28515625" style="248" customWidth="1"/>
    <col min="12809" max="12810" width="15" style="248" customWidth="1"/>
    <col min="12811" max="12812" width="9.140625" style="248"/>
    <col min="12813" max="12813" width="14.28515625" style="248" customWidth="1"/>
    <col min="12814" max="12814" width="13.140625" style="248" customWidth="1"/>
    <col min="12815" max="13057" width="9.140625" style="248"/>
    <col min="13058" max="13058" width="49.28515625" style="248" customWidth="1"/>
    <col min="13059" max="13059" width="18.5703125" style="248" customWidth="1"/>
    <col min="13060" max="13060" width="22.85546875" style="248" customWidth="1"/>
    <col min="13061" max="13061" width="14.28515625" style="248" customWidth="1"/>
    <col min="13062" max="13062" width="13.140625" style="248" customWidth="1"/>
    <col min="13063" max="13063" width="19.85546875" style="248" customWidth="1"/>
    <col min="13064" max="13064" width="22.28515625" style="248" customWidth="1"/>
    <col min="13065" max="13066" width="15" style="248" customWidth="1"/>
    <col min="13067" max="13068" width="9.140625" style="248"/>
    <col min="13069" max="13069" width="14.28515625" style="248" customWidth="1"/>
    <col min="13070" max="13070" width="13.140625" style="248" customWidth="1"/>
    <col min="13071" max="13313" width="9.140625" style="248"/>
    <col min="13314" max="13314" width="49.28515625" style="248" customWidth="1"/>
    <col min="13315" max="13315" width="18.5703125" style="248" customWidth="1"/>
    <col min="13316" max="13316" width="22.85546875" style="248" customWidth="1"/>
    <col min="13317" max="13317" width="14.28515625" style="248" customWidth="1"/>
    <col min="13318" max="13318" width="13.140625" style="248" customWidth="1"/>
    <col min="13319" max="13319" width="19.85546875" style="248" customWidth="1"/>
    <col min="13320" max="13320" width="22.28515625" style="248" customWidth="1"/>
    <col min="13321" max="13322" width="15" style="248" customWidth="1"/>
    <col min="13323" max="13324" width="9.140625" style="248"/>
    <col min="13325" max="13325" width="14.28515625" style="248" customWidth="1"/>
    <col min="13326" max="13326" width="13.140625" style="248" customWidth="1"/>
    <col min="13327" max="13569" width="9.140625" style="248"/>
    <col min="13570" max="13570" width="49.28515625" style="248" customWidth="1"/>
    <col min="13571" max="13571" width="18.5703125" style="248" customWidth="1"/>
    <col min="13572" max="13572" width="22.85546875" style="248" customWidth="1"/>
    <col min="13573" max="13573" width="14.28515625" style="248" customWidth="1"/>
    <col min="13574" max="13574" width="13.140625" style="248" customWidth="1"/>
    <col min="13575" max="13575" width="19.85546875" style="248" customWidth="1"/>
    <col min="13576" max="13576" width="22.28515625" style="248" customWidth="1"/>
    <col min="13577" max="13578" width="15" style="248" customWidth="1"/>
    <col min="13579" max="13580" width="9.140625" style="248"/>
    <col min="13581" max="13581" width="14.28515625" style="248" customWidth="1"/>
    <col min="13582" max="13582" width="13.140625" style="248" customWidth="1"/>
    <col min="13583" max="13825" width="9.140625" style="248"/>
    <col min="13826" max="13826" width="49.28515625" style="248" customWidth="1"/>
    <col min="13827" max="13827" width="18.5703125" style="248" customWidth="1"/>
    <col min="13828" max="13828" width="22.85546875" style="248" customWidth="1"/>
    <col min="13829" max="13829" width="14.28515625" style="248" customWidth="1"/>
    <col min="13830" max="13830" width="13.140625" style="248" customWidth="1"/>
    <col min="13831" max="13831" width="19.85546875" style="248" customWidth="1"/>
    <col min="13832" max="13832" width="22.28515625" style="248" customWidth="1"/>
    <col min="13833" max="13834" width="15" style="248" customWidth="1"/>
    <col min="13835" max="13836" width="9.140625" style="248"/>
    <col min="13837" max="13837" width="14.28515625" style="248" customWidth="1"/>
    <col min="13838" max="13838" width="13.140625" style="248" customWidth="1"/>
    <col min="13839" max="14081" width="9.140625" style="248"/>
    <col min="14082" max="14082" width="49.28515625" style="248" customWidth="1"/>
    <col min="14083" max="14083" width="18.5703125" style="248" customWidth="1"/>
    <col min="14084" max="14084" width="22.85546875" style="248" customWidth="1"/>
    <col min="14085" max="14085" width="14.28515625" style="248" customWidth="1"/>
    <col min="14086" max="14086" width="13.140625" style="248" customWidth="1"/>
    <col min="14087" max="14087" width="19.85546875" style="248" customWidth="1"/>
    <col min="14088" max="14088" width="22.28515625" style="248" customWidth="1"/>
    <col min="14089" max="14090" width="15" style="248" customWidth="1"/>
    <col min="14091" max="14092" width="9.140625" style="248"/>
    <col min="14093" max="14093" width="14.28515625" style="248" customWidth="1"/>
    <col min="14094" max="14094" width="13.140625" style="248" customWidth="1"/>
    <col min="14095" max="14337" width="9.140625" style="248"/>
    <col min="14338" max="14338" width="49.28515625" style="248" customWidth="1"/>
    <col min="14339" max="14339" width="18.5703125" style="248" customWidth="1"/>
    <col min="14340" max="14340" width="22.85546875" style="248" customWidth="1"/>
    <col min="14341" max="14341" width="14.28515625" style="248" customWidth="1"/>
    <col min="14342" max="14342" width="13.140625" style="248" customWidth="1"/>
    <col min="14343" max="14343" width="19.85546875" style="248" customWidth="1"/>
    <col min="14344" max="14344" width="22.28515625" style="248" customWidth="1"/>
    <col min="14345" max="14346" width="15" style="248" customWidth="1"/>
    <col min="14347" max="14348" width="9.140625" style="248"/>
    <col min="14349" max="14349" width="14.28515625" style="248" customWidth="1"/>
    <col min="14350" max="14350" width="13.140625" style="248" customWidth="1"/>
    <col min="14351" max="14593" width="9.140625" style="248"/>
    <col min="14594" max="14594" width="49.28515625" style="248" customWidth="1"/>
    <col min="14595" max="14595" width="18.5703125" style="248" customWidth="1"/>
    <col min="14596" max="14596" width="22.85546875" style="248" customWidth="1"/>
    <col min="14597" max="14597" width="14.28515625" style="248" customWidth="1"/>
    <col min="14598" max="14598" width="13.140625" style="248" customWidth="1"/>
    <col min="14599" max="14599" width="19.85546875" style="248" customWidth="1"/>
    <col min="14600" max="14600" width="22.28515625" style="248" customWidth="1"/>
    <col min="14601" max="14602" width="15" style="248" customWidth="1"/>
    <col min="14603" max="14604" width="9.140625" style="248"/>
    <col min="14605" max="14605" width="14.28515625" style="248" customWidth="1"/>
    <col min="14606" max="14606" width="13.140625" style="248" customWidth="1"/>
    <col min="14607" max="14849" width="9.140625" style="248"/>
    <col min="14850" max="14850" width="49.28515625" style="248" customWidth="1"/>
    <col min="14851" max="14851" width="18.5703125" style="248" customWidth="1"/>
    <col min="14852" max="14852" width="22.85546875" style="248" customWidth="1"/>
    <col min="14853" max="14853" width="14.28515625" style="248" customWidth="1"/>
    <col min="14854" max="14854" width="13.140625" style="248" customWidth="1"/>
    <col min="14855" max="14855" width="19.85546875" style="248" customWidth="1"/>
    <col min="14856" max="14856" width="22.28515625" style="248" customWidth="1"/>
    <col min="14857" max="14858" width="15" style="248" customWidth="1"/>
    <col min="14859" max="14860" width="9.140625" style="248"/>
    <col min="14861" max="14861" width="14.28515625" style="248" customWidth="1"/>
    <col min="14862" max="14862" width="13.140625" style="248" customWidth="1"/>
    <col min="14863" max="15105" width="9.140625" style="248"/>
    <col min="15106" max="15106" width="49.28515625" style="248" customWidth="1"/>
    <col min="15107" max="15107" width="18.5703125" style="248" customWidth="1"/>
    <col min="15108" max="15108" width="22.85546875" style="248" customWidth="1"/>
    <col min="15109" max="15109" width="14.28515625" style="248" customWidth="1"/>
    <col min="15110" max="15110" width="13.140625" style="248" customWidth="1"/>
    <col min="15111" max="15111" width="19.85546875" style="248" customWidth="1"/>
    <col min="15112" max="15112" width="22.28515625" style="248" customWidth="1"/>
    <col min="15113" max="15114" width="15" style="248" customWidth="1"/>
    <col min="15115" max="15116" width="9.140625" style="248"/>
    <col min="15117" max="15117" width="14.28515625" style="248" customWidth="1"/>
    <col min="15118" max="15118" width="13.140625" style="248" customWidth="1"/>
    <col min="15119" max="15361" width="9.140625" style="248"/>
    <col min="15362" max="15362" width="49.28515625" style="248" customWidth="1"/>
    <col min="15363" max="15363" width="18.5703125" style="248" customWidth="1"/>
    <col min="15364" max="15364" width="22.85546875" style="248" customWidth="1"/>
    <col min="15365" max="15365" width="14.28515625" style="248" customWidth="1"/>
    <col min="15366" max="15366" width="13.140625" style="248" customWidth="1"/>
    <col min="15367" max="15367" width="19.85546875" style="248" customWidth="1"/>
    <col min="15368" max="15368" width="22.28515625" style="248" customWidth="1"/>
    <col min="15369" max="15370" width="15" style="248" customWidth="1"/>
    <col min="15371" max="15372" width="9.140625" style="248"/>
    <col min="15373" max="15373" width="14.28515625" style="248" customWidth="1"/>
    <col min="15374" max="15374" width="13.140625" style="248" customWidth="1"/>
    <col min="15375" max="15617" width="9.140625" style="248"/>
    <col min="15618" max="15618" width="49.28515625" style="248" customWidth="1"/>
    <col min="15619" max="15619" width="18.5703125" style="248" customWidth="1"/>
    <col min="15620" max="15620" width="22.85546875" style="248" customWidth="1"/>
    <col min="15621" max="15621" width="14.28515625" style="248" customWidth="1"/>
    <col min="15622" max="15622" width="13.140625" style="248" customWidth="1"/>
    <col min="15623" max="15623" width="19.85546875" style="248" customWidth="1"/>
    <col min="15624" max="15624" width="22.28515625" style="248" customWidth="1"/>
    <col min="15625" max="15626" width="15" style="248" customWidth="1"/>
    <col min="15627" max="15628" width="9.140625" style="248"/>
    <col min="15629" max="15629" width="14.28515625" style="248" customWidth="1"/>
    <col min="15630" max="15630" width="13.140625" style="248" customWidth="1"/>
    <col min="15631" max="15873" width="9.140625" style="248"/>
    <col min="15874" max="15874" width="49.28515625" style="248" customWidth="1"/>
    <col min="15875" max="15875" width="18.5703125" style="248" customWidth="1"/>
    <col min="15876" max="15876" width="22.85546875" style="248" customWidth="1"/>
    <col min="15877" max="15877" width="14.28515625" style="248" customWidth="1"/>
    <col min="15878" max="15878" width="13.140625" style="248" customWidth="1"/>
    <col min="15879" max="15879" width="19.85546875" style="248" customWidth="1"/>
    <col min="15880" max="15880" width="22.28515625" style="248" customWidth="1"/>
    <col min="15881" max="15882" width="15" style="248" customWidth="1"/>
    <col min="15883" max="15884" width="9.140625" style="248"/>
    <col min="15885" max="15885" width="14.28515625" style="248" customWidth="1"/>
    <col min="15886" max="15886" width="13.140625" style="248" customWidth="1"/>
    <col min="15887" max="16129" width="9.140625" style="248"/>
    <col min="16130" max="16130" width="49.28515625" style="248" customWidth="1"/>
    <col min="16131" max="16131" width="18.5703125" style="248" customWidth="1"/>
    <col min="16132" max="16132" width="22.85546875" style="248" customWidth="1"/>
    <col min="16133" max="16133" width="14.28515625" style="248" customWidth="1"/>
    <col min="16134" max="16134" width="13.140625" style="248" customWidth="1"/>
    <col min="16135" max="16135" width="19.85546875" style="248" customWidth="1"/>
    <col min="16136" max="16136" width="22.28515625" style="248" customWidth="1"/>
    <col min="16137" max="16138" width="15" style="248" customWidth="1"/>
    <col min="16139" max="16140" width="9.140625" style="248"/>
    <col min="16141" max="16141" width="14.28515625" style="248" customWidth="1"/>
    <col min="16142" max="16142" width="13.140625" style="248" customWidth="1"/>
    <col min="16143" max="16384" width="9.140625" style="248"/>
  </cols>
  <sheetData>
    <row r="2" spans="2:16" ht="27" customHeight="1">
      <c r="B2" s="1882" t="s">
        <v>1736</v>
      </c>
      <c r="C2" s="1882"/>
      <c r="D2" s="1882"/>
      <c r="E2" s="1882"/>
      <c r="F2" s="1882"/>
      <c r="G2" s="1882"/>
      <c r="H2" s="1882"/>
      <c r="I2" s="1882"/>
      <c r="J2" s="1882"/>
      <c r="L2" s="248">
        <v>1.04</v>
      </c>
      <c r="M2" s="248" t="s">
        <v>709</v>
      </c>
    </row>
    <row r="3" spans="2:16" ht="24" customHeight="1">
      <c r="B3" s="1052"/>
      <c r="C3" s="1051"/>
      <c r="D3" s="1051"/>
      <c r="E3" s="1051"/>
      <c r="F3" s="1051"/>
      <c r="G3" s="1051"/>
      <c r="H3" s="1051"/>
      <c r="I3" s="1051"/>
      <c r="J3" s="1051"/>
    </row>
    <row r="4" spans="2:16" s="264" customFormat="1" ht="24" customHeight="1">
      <c r="B4" s="1006"/>
      <c r="C4" s="1883" t="s">
        <v>1981</v>
      </c>
      <c r="D4" s="1884"/>
      <c r="E4" s="1884"/>
      <c r="F4" s="1885"/>
      <c r="G4" s="1883" t="s">
        <v>1982</v>
      </c>
      <c r="H4" s="1884"/>
      <c r="I4" s="1884"/>
      <c r="J4" s="1885"/>
      <c r="M4" s="1887" t="s">
        <v>889</v>
      </c>
      <c r="N4" s="1888"/>
      <c r="O4" s="1888"/>
      <c r="P4" s="1889"/>
    </row>
    <row r="5" spans="2:16" s="264" customFormat="1" ht="24" customHeight="1">
      <c r="B5" s="1007" t="s">
        <v>1720</v>
      </c>
      <c r="C5" s="1008"/>
      <c r="D5" s="1008"/>
      <c r="E5" s="1008"/>
      <c r="F5" s="1009"/>
      <c r="G5" s="1008"/>
      <c r="H5" s="1008"/>
      <c r="I5" s="1008"/>
      <c r="J5" s="1009"/>
    </row>
    <row r="6" spans="2:16" s="264" customFormat="1" ht="24" customHeight="1">
      <c r="B6" s="323" t="s">
        <v>1721</v>
      </c>
      <c r="C6" s="486" t="s">
        <v>497</v>
      </c>
      <c r="D6" s="486" t="s">
        <v>519</v>
      </c>
      <c r="E6" s="1325" t="s">
        <v>1737</v>
      </c>
      <c r="F6" s="1010"/>
      <c r="G6" s="486" t="s">
        <v>497</v>
      </c>
      <c r="H6" s="486" t="s">
        <v>519</v>
      </c>
      <c r="I6" s="1326" t="s">
        <v>1737</v>
      </c>
      <c r="J6" s="1011"/>
      <c r="M6" s="265" t="s">
        <v>497</v>
      </c>
      <c r="N6" s="265" t="s">
        <v>519</v>
      </c>
    </row>
    <row r="7" spans="2:16" s="264" customFormat="1" ht="35.25" customHeight="1">
      <c r="B7" s="325" t="s">
        <v>1725</v>
      </c>
      <c r="C7" s="486" t="s">
        <v>498</v>
      </c>
      <c r="D7" s="486" t="s">
        <v>498</v>
      </c>
      <c r="E7" s="487" t="s">
        <v>498</v>
      </c>
      <c r="F7" s="487" t="s">
        <v>1726</v>
      </c>
      <c r="G7" s="486" t="s">
        <v>498</v>
      </c>
      <c r="H7" s="486" t="s">
        <v>498</v>
      </c>
      <c r="I7" s="486" t="s">
        <v>498</v>
      </c>
      <c r="J7" s="487" t="s">
        <v>1726</v>
      </c>
      <c r="M7" s="266" t="s">
        <v>498</v>
      </c>
      <c r="N7" s="266" t="s">
        <v>498</v>
      </c>
    </row>
    <row r="8" spans="2:16" ht="27.75" customHeight="1">
      <c r="B8" s="328" t="s">
        <v>503</v>
      </c>
      <c r="C8" s="456">
        <v>379</v>
      </c>
      <c r="D8" s="455">
        <v>379</v>
      </c>
      <c r="E8" s="462">
        <v>0</v>
      </c>
      <c r="F8" s="463">
        <v>0</v>
      </c>
      <c r="G8" s="462">
        <v>363</v>
      </c>
      <c r="H8" s="462">
        <v>363</v>
      </c>
      <c r="I8" s="462">
        <v>0</v>
      </c>
      <c r="J8" s="463">
        <v>0</v>
      </c>
      <c r="M8" s="488">
        <v>369</v>
      </c>
      <c r="N8" s="488">
        <v>369</v>
      </c>
      <c r="P8" s="267"/>
    </row>
    <row r="9" spans="2:16" ht="27" customHeight="1">
      <c r="B9" s="328" t="s">
        <v>487</v>
      </c>
      <c r="C9" s="462">
        <v>6921</v>
      </c>
      <c r="D9" s="460">
        <v>6921</v>
      </c>
      <c r="E9" s="462">
        <v>0</v>
      </c>
      <c r="F9" s="463">
        <v>0</v>
      </c>
      <c r="G9" s="462">
        <v>6314</v>
      </c>
      <c r="H9" s="462">
        <v>6314</v>
      </c>
      <c r="I9" s="462">
        <v>0</v>
      </c>
      <c r="J9" s="463">
        <v>0</v>
      </c>
      <c r="M9" s="488">
        <v>7016</v>
      </c>
      <c r="N9" s="488">
        <v>7016</v>
      </c>
      <c r="P9" s="267"/>
    </row>
    <row r="10" spans="2:16" ht="24" customHeight="1">
      <c r="B10" s="328" t="s">
        <v>502</v>
      </c>
      <c r="C10" s="462">
        <v>11383.32</v>
      </c>
      <c r="D10" s="460">
        <v>11383</v>
      </c>
      <c r="E10" s="462">
        <v>0.31999999999970896</v>
      </c>
      <c r="F10" s="463">
        <v>2.8111306718928133E-3</v>
      </c>
      <c r="G10" s="462">
        <v>10308</v>
      </c>
      <c r="H10" s="462">
        <v>10308</v>
      </c>
      <c r="I10" s="462">
        <v>0</v>
      </c>
      <c r="J10" s="463">
        <v>0</v>
      </c>
      <c r="M10" s="488">
        <v>10270</v>
      </c>
      <c r="N10" s="488">
        <v>10270</v>
      </c>
      <c r="P10" s="267"/>
    </row>
    <row r="11" spans="2:16" ht="22.5" customHeight="1">
      <c r="B11" s="329" t="s">
        <v>1636</v>
      </c>
      <c r="C11" s="462">
        <v>1578</v>
      </c>
      <c r="D11" s="460">
        <v>1578</v>
      </c>
      <c r="E11" s="462">
        <v>0</v>
      </c>
      <c r="F11" s="463">
        <v>0</v>
      </c>
      <c r="G11" s="462">
        <v>1423</v>
      </c>
      <c r="H11" s="462">
        <v>1423</v>
      </c>
      <c r="I11" s="462">
        <v>0</v>
      </c>
      <c r="J11" s="463">
        <v>0</v>
      </c>
      <c r="M11" s="488">
        <v>1520</v>
      </c>
      <c r="N11" s="488">
        <v>1520</v>
      </c>
      <c r="P11" s="267"/>
    </row>
    <row r="12" spans="2:16" ht="24" customHeight="1">
      <c r="B12" s="1049" t="s">
        <v>1727</v>
      </c>
      <c r="C12" s="462">
        <v>2733</v>
      </c>
      <c r="D12" s="460">
        <v>2483</v>
      </c>
      <c r="E12" s="462">
        <v>250</v>
      </c>
      <c r="F12" s="463">
        <v>9.1474570069520666</v>
      </c>
      <c r="G12" s="462">
        <v>2834</v>
      </c>
      <c r="H12" s="462">
        <v>2267</v>
      </c>
      <c r="I12" s="462">
        <v>567</v>
      </c>
      <c r="J12" s="463">
        <v>20.007057163020466</v>
      </c>
      <c r="M12" s="488">
        <v>2951</v>
      </c>
      <c r="N12" s="488">
        <v>2361</v>
      </c>
      <c r="P12" s="267"/>
    </row>
    <row r="13" spans="2:16" ht="24" customHeight="1">
      <c r="B13" s="329" t="s">
        <v>492</v>
      </c>
      <c r="C13" s="462">
        <v>13141</v>
      </c>
      <c r="D13" s="460">
        <v>13141</v>
      </c>
      <c r="E13" s="462">
        <v>0</v>
      </c>
      <c r="F13" s="463">
        <v>0</v>
      </c>
      <c r="G13" s="462">
        <v>12683</v>
      </c>
      <c r="H13" s="462">
        <v>12683</v>
      </c>
      <c r="I13" s="462">
        <v>0</v>
      </c>
      <c r="J13" s="463">
        <v>0</v>
      </c>
      <c r="M13" s="488">
        <v>12638</v>
      </c>
      <c r="N13" s="488">
        <v>12638</v>
      </c>
      <c r="P13" s="267"/>
    </row>
    <row r="14" spans="2:16" ht="24" customHeight="1">
      <c r="B14" s="329" t="s">
        <v>489</v>
      </c>
      <c r="C14" s="462">
        <v>12787</v>
      </c>
      <c r="D14" s="460">
        <v>12787</v>
      </c>
      <c r="E14" s="462">
        <v>0</v>
      </c>
      <c r="F14" s="463">
        <v>0</v>
      </c>
      <c r="G14" s="462">
        <v>12755</v>
      </c>
      <c r="H14" s="462">
        <v>12755</v>
      </c>
      <c r="I14" s="462">
        <v>0</v>
      </c>
      <c r="J14" s="463">
        <v>0</v>
      </c>
      <c r="M14" s="488">
        <v>11698</v>
      </c>
      <c r="N14" s="488">
        <v>11698</v>
      </c>
      <c r="P14" s="267"/>
    </row>
    <row r="15" spans="2:16" ht="24" customHeight="1">
      <c r="B15" s="329" t="s">
        <v>626</v>
      </c>
      <c r="C15" s="462">
        <v>24674</v>
      </c>
      <c r="D15" s="460">
        <v>24674</v>
      </c>
      <c r="E15" s="462">
        <v>0</v>
      </c>
      <c r="F15" s="463">
        <v>0</v>
      </c>
      <c r="G15" s="462">
        <v>22109.5</v>
      </c>
      <c r="H15" s="462">
        <v>22109.5</v>
      </c>
      <c r="I15" s="462">
        <v>0</v>
      </c>
      <c r="J15" s="463">
        <v>0</v>
      </c>
      <c r="M15" s="488">
        <v>20498.113145249998</v>
      </c>
      <c r="N15" s="488">
        <v>20062</v>
      </c>
      <c r="P15" s="267"/>
    </row>
    <row r="16" spans="2:16" ht="24" customHeight="1">
      <c r="B16" s="329" t="s">
        <v>632</v>
      </c>
      <c r="C16" s="462">
        <v>2189</v>
      </c>
      <c r="D16" s="462">
        <v>2189</v>
      </c>
      <c r="E16" s="462">
        <v>0</v>
      </c>
      <c r="F16" s="463">
        <v>0</v>
      </c>
      <c r="G16" s="462">
        <v>1942</v>
      </c>
      <c r="H16" s="462">
        <v>1942</v>
      </c>
      <c r="I16" s="462">
        <v>0</v>
      </c>
      <c r="J16" s="463">
        <v>0</v>
      </c>
      <c r="M16" s="488">
        <v>2143</v>
      </c>
      <c r="N16" s="488">
        <v>2143</v>
      </c>
      <c r="P16" s="267"/>
    </row>
    <row r="17" spans="2:17" ht="32.25" customHeight="1" thickBot="1">
      <c r="B17" s="449" t="s">
        <v>1671</v>
      </c>
      <c r="C17" s="489">
        <v>73116</v>
      </c>
      <c r="D17" s="489">
        <v>70691</v>
      </c>
      <c r="E17" s="468">
        <v>2425</v>
      </c>
      <c r="F17" s="469">
        <v>3.3166475190108868</v>
      </c>
      <c r="G17" s="468">
        <v>65336</v>
      </c>
      <c r="H17" s="470">
        <v>64885</v>
      </c>
      <c r="I17" s="468">
        <v>451</v>
      </c>
      <c r="J17" s="469">
        <v>0.69027794783886376</v>
      </c>
      <c r="M17" s="490">
        <v>63166</v>
      </c>
      <c r="N17" s="491">
        <v>61726</v>
      </c>
      <c r="P17" s="267"/>
    </row>
    <row r="18" spans="2:17" ht="24" customHeight="1" thickTop="1">
      <c r="B18" s="520" t="s">
        <v>131</v>
      </c>
      <c r="C18" s="462">
        <v>4066</v>
      </c>
      <c r="D18" s="481">
        <v>4066</v>
      </c>
      <c r="E18" s="462">
        <v>0</v>
      </c>
      <c r="F18" s="474">
        <v>0</v>
      </c>
      <c r="G18" s="462">
        <v>3677.2865999999999</v>
      </c>
      <c r="H18" s="462">
        <v>3676</v>
      </c>
      <c r="I18" s="462">
        <v>1.2865999999999076</v>
      </c>
      <c r="J18" s="474">
        <v>3.4987754285997388E-2</v>
      </c>
      <c r="M18" s="488">
        <v>4416.211510668365</v>
      </c>
      <c r="N18" s="488">
        <v>4270.211510668365</v>
      </c>
      <c r="P18" s="267"/>
    </row>
    <row r="19" spans="2:17" ht="24" customHeight="1">
      <c r="B19" s="331" t="s">
        <v>494</v>
      </c>
      <c r="C19" s="462">
        <v>18093</v>
      </c>
      <c r="D19" s="462">
        <v>18093</v>
      </c>
      <c r="E19" s="462">
        <v>0</v>
      </c>
      <c r="F19" s="463">
        <v>0</v>
      </c>
      <c r="G19" s="461">
        <v>15924</v>
      </c>
      <c r="H19" s="462">
        <v>15924</v>
      </c>
      <c r="I19" s="462">
        <v>0</v>
      </c>
      <c r="J19" s="463">
        <v>0</v>
      </c>
      <c r="K19" s="195"/>
      <c r="L19" s="191"/>
      <c r="M19" s="488">
        <v>17053.110805187931</v>
      </c>
      <c r="N19" s="488">
        <v>16962.92700499393</v>
      </c>
      <c r="O19" s="1890"/>
      <c r="P19" s="1890"/>
      <c r="Q19" s="1890"/>
    </row>
    <row r="20" spans="2:17" ht="24" customHeight="1">
      <c r="B20" s="331" t="s">
        <v>522</v>
      </c>
      <c r="C20" s="462">
        <v>9418</v>
      </c>
      <c r="D20" s="462">
        <v>9418</v>
      </c>
      <c r="E20" s="462">
        <v>0</v>
      </c>
      <c r="F20" s="463">
        <v>0</v>
      </c>
      <c r="G20" s="462">
        <v>9124</v>
      </c>
      <c r="H20" s="462">
        <v>9124</v>
      </c>
      <c r="I20" s="462">
        <v>0</v>
      </c>
      <c r="J20" s="463">
        <v>0</v>
      </c>
      <c r="M20" s="488">
        <v>11535.096307631951</v>
      </c>
      <c r="N20" s="488">
        <v>11495.59845763195</v>
      </c>
      <c r="P20" s="267"/>
    </row>
    <row r="21" spans="2:17" ht="24" customHeight="1">
      <c r="B21" s="331" t="s">
        <v>491</v>
      </c>
      <c r="C21" s="462">
        <v>21141</v>
      </c>
      <c r="D21" s="462">
        <v>21141</v>
      </c>
      <c r="E21" s="462">
        <v>0</v>
      </c>
      <c r="F21" s="463">
        <v>0</v>
      </c>
      <c r="G21" s="462">
        <v>19428.797699999999</v>
      </c>
      <c r="H21" s="462">
        <v>19422</v>
      </c>
      <c r="I21" s="462">
        <v>6.7976999999991676</v>
      </c>
      <c r="J21" s="463">
        <v>3.4987754285995619E-2</v>
      </c>
      <c r="M21" s="488">
        <v>23864.037627018461</v>
      </c>
      <c r="N21" s="488">
        <v>23254.042758262356</v>
      </c>
      <c r="P21" s="267"/>
    </row>
    <row r="22" spans="2:17" ht="24" customHeight="1">
      <c r="B22" s="331" t="s">
        <v>505</v>
      </c>
      <c r="C22" s="462">
        <v>333</v>
      </c>
      <c r="D22" s="462">
        <v>333</v>
      </c>
      <c r="E22" s="462">
        <v>0</v>
      </c>
      <c r="F22" s="463">
        <v>0</v>
      </c>
      <c r="G22" s="462">
        <v>255.17850000000001</v>
      </c>
      <c r="H22" s="462">
        <v>255</v>
      </c>
      <c r="I22" s="462">
        <v>0.17850000000001387</v>
      </c>
      <c r="J22" s="463">
        <v>6.9951034276012222E-2</v>
      </c>
      <c r="M22" s="488">
        <v>356.74760000000003</v>
      </c>
      <c r="N22" s="488">
        <v>356</v>
      </c>
      <c r="P22" s="267"/>
    </row>
    <row r="23" spans="2:17" ht="29.25" customHeight="1">
      <c r="B23" s="336" t="s">
        <v>1728</v>
      </c>
      <c r="C23" s="462">
        <v>823</v>
      </c>
      <c r="D23" s="462">
        <v>823</v>
      </c>
      <c r="E23" s="462">
        <v>0</v>
      </c>
      <c r="F23" s="463">
        <v>0</v>
      </c>
      <c r="G23" s="462">
        <v>589</v>
      </c>
      <c r="H23" s="462">
        <v>589</v>
      </c>
      <c r="I23" s="462">
        <v>0</v>
      </c>
      <c r="J23" s="463">
        <v>0</v>
      </c>
      <c r="M23" s="488">
        <v>815.57050000000004</v>
      </c>
      <c r="N23" s="488">
        <v>815</v>
      </c>
      <c r="P23" s="267"/>
    </row>
    <row r="24" spans="2:17" ht="24.75" customHeight="1">
      <c r="B24" s="331" t="s">
        <v>504</v>
      </c>
      <c r="C24" s="462">
        <v>599</v>
      </c>
      <c r="D24" s="462">
        <v>599</v>
      </c>
      <c r="E24" s="462">
        <v>0</v>
      </c>
      <c r="F24" s="463">
        <v>0</v>
      </c>
      <c r="G24" s="462">
        <v>516.08196375</v>
      </c>
      <c r="H24" s="462">
        <v>515</v>
      </c>
      <c r="I24" s="462">
        <v>1.0819637499999999</v>
      </c>
      <c r="J24" s="463">
        <v>0.20964959560650795</v>
      </c>
      <c r="M24" s="488">
        <v>595.82000000000005</v>
      </c>
      <c r="N24" s="488">
        <v>595.82000000000005</v>
      </c>
      <c r="P24" s="267"/>
    </row>
    <row r="25" spans="2:17" ht="33.75" customHeight="1" thickBot="1">
      <c r="B25" s="333" t="s">
        <v>1673</v>
      </c>
      <c r="C25" s="468">
        <v>52286</v>
      </c>
      <c r="D25" s="468">
        <v>52286</v>
      </c>
      <c r="E25" s="468">
        <v>0</v>
      </c>
      <c r="F25" s="493">
        <v>0</v>
      </c>
      <c r="G25" s="468">
        <v>47627</v>
      </c>
      <c r="H25" s="470">
        <v>47627</v>
      </c>
      <c r="I25" s="468">
        <v>0</v>
      </c>
      <c r="J25" s="493">
        <v>0</v>
      </c>
      <c r="M25" s="490">
        <v>56674.612919993058</v>
      </c>
      <c r="N25" s="491">
        <v>55821.219000000005</v>
      </c>
      <c r="P25" s="267"/>
    </row>
    <row r="26" spans="2:17" ht="27" customHeight="1" thickTop="1">
      <c r="B26" s="331" t="s">
        <v>530</v>
      </c>
      <c r="C26" s="462">
        <v>10217.947773788152</v>
      </c>
      <c r="D26" s="462">
        <v>10172</v>
      </c>
      <c r="E26" s="462">
        <v>45.947773788151608</v>
      </c>
      <c r="F26" s="474">
        <v>0.44967712504873331</v>
      </c>
      <c r="G26" s="462">
        <v>9442.442500000001</v>
      </c>
      <c r="H26" s="462">
        <v>9423</v>
      </c>
      <c r="I26" s="462">
        <v>19.442500000001019</v>
      </c>
      <c r="J26" s="474">
        <v>0.20590541059689818</v>
      </c>
      <c r="M26" s="488">
        <v>9459.0651814666708</v>
      </c>
      <c r="N26" s="488">
        <v>9453</v>
      </c>
      <c r="P26" s="267"/>
    </row>
    <row r="27" spans="2:17" ht="24" customHeight="1">
      <c r="B27" s="331" t="s">
        <v>524</v>
      </c>
      <c r="C27" s="462">
        <v>11130</v>
      </c>
      <c r="D27" s="462">
        <v>11130</v>
      </c>
      <c r="E27" s="462">
        <v>0</v>
      </c>
      <c r="F27" s="463">
        <v>0</v>
      </c>
      <c r="G27" s="462">
        <v>8742.6530000000021</v>
      </c>
      <c r="H27" s="462">
        <v>8723</v>
      </c>
      <c r="I27" s="462">
        <v>19.653000000002066</v>
      </c>
      <c r="J27" s="463">
        <v>0.2247944645635834</v>
      </c>
      <c r="M27" s="488">
        <v>10815.32501895</v>
      </c>
      <c r="N27" s="488">
        <v>10815.32501895</v>
      </c>
      <c r="P27" s="267"/>
    </row>
    <row r="28" spans="2:17" ht="24" customHeight="1">
      <c r="B28" s="331" t="s">
        <v>506</v>
      </c>
      <c r="C28" s="462">
        <v>11174.31</v>
      </c>
      <c r="D28" s="462">
        <v>11174.31</v>
      </c>
      <c r="E28" s="462">
        <v>0</v>
      </c>
      <c r="F28" s="463">
        <v>0</v>
      </c>
      <c r="G28" s="462">
        <v>10689.101666666667</v>
      </c>
      <c r="H28" s="462">
        <v>10670</v>
      </c>
      <c r="I28" s="462">
        <v>19.10166666666737</v>
      </c>
      <c r="J28" s="463">
        <v>0.17870226387905722</v>
      </c>
      <c r="M28" s="488">
        <v>10798.823078066667</v>
      </c>
      <c r="N28" s="488">
        <v>10765.514999999999</v>
      </c>
      <c r="P28" s="267"/>
    </row>
    <row r="29" spans="2:17" ht="24" customHeight="1">
      <c r="B29" s="331" t="s">
        <v>507</v>
      </c>
      <c r="C29" s="462">
        <v>3593.3155999999999</v>
      </c>
      <c r="D29" s="462">
        <v>3593.3155999999999</v>
      </c>
      <c r="E29" s="462">
        <v>0</v>
      </c>
      <c r="F29" s="463">
        <v>0</v>
      </c>
      <c r="G29" s="462">
        <v>3307.9858000000004</v>
      </c>
      <c r="H29" s="462">
        <v>3291.9047999999998</v>
      </c>
      <c r="I29" s="462">
        <v>16.081000000000586</v>
      </c>
      <c r="J29" s="463">
        <v>0.4861266333126516</v>
      </c>
      <c r="M29" s="488">
        <v>4050.1481300000005</v>
      </c>
      <c r="N29" s="488">
        <v>3997.3568</v>
      </c>
      <c r="P29" s="267"/>
    </row>
    <row r="30" spans="2:17" ht="24" customHeight="1">
      <c r="B30" s="331" t="s">
        <v>508</v>
      </c>
      <c r="C30" s="462">
        <v>15820.1237</v>
      </c>
      <c r="D30" s="462">
        <v>15820.1237</v>
      </c>
      <c r="E30" s="462">
        <v>0</v>
      </c>
      <c r="F30" s="463">
        <v>0</v>
      </c>
      <c r="G30" s="462">
        <v>14590.8231</v>
      </c>
      <c r="H30" s="462">
        <v>14590.8231</v>
      </c>
      <c r="I30" s="462">
        <v>0</v>
      </c>
      <c r="J30" s="463">
        <v>0</v>
      </c>
      <c r="M30" s="488">
        <v>15028.689072500001</v>
      </c>
      <c r="N30" s="488">
        <v>14981.329664781881</v>
      </c>
      <c r="P30" s="267"/>
    </row>
    <row r="31" spans="2:17" ht="24" customHeight="1">
      <c r="B31" s="331" t="s">
        <v>509</v>
      </c>
      <c r="C31" s="462">
        <v>424.70399999999995</v>
      </c>
      <c r="D31" s="462">
        <v>420</v>
      </c>
      <c r="E31" s="462">
        <v>4.7039999999999509</v>
      </c>
      <c r="F31" s="463">
        <v>1.1075949367088493</v>
      </c>
      <c r="G31" s="462">
        <v>414.295593</v>
      </c>
      <c r="H31" s="462">
        <v>414.295593</v>
      </c>
      <c r="I31" s="462">
        <v>0</v>
      </c>
      <c r="J31" s="463">
        <v>0</v>
      </c>
      <c r="M31" s="488">
        <v>419.53812695000005</v>
      </c>
      <c r="N31" s="488">
        <v>400.399292</v>
      </c>
      <c r="P31" s="267"/>
    </row>
    <row r="32" spans="2:17" ht="24" customHeight="1">
      <c r="B32" s="331" t="s">
        <v>1729</v>
      </c>
      <c r="C32" s="462">
        <v>9.8759999999999994</v>
      </c>
      <c r="D32" s="462">
        <v>9.8759999999999994</v>
      </c>
      <c r="E32" s="462">
        <v>0</v>
      </c>
      <c r="F32" s="964">
        <v>0</v>
      </c>
      <c r="G32" s="462">
        <v>9.8759999999999994</v>
      </c>
      <c r="H32" s="462">
        <v>9.8759999999999994</v>
      </c>
      <c r="I32" s="462">
        <v>0</v>
      </c>
      <c r="J32" s="964">
        <v>0</v>
      </c>
      <c r="M32" s="488">
        <v>8</v>
      </c>
      <c r="N32" s="488">
        <v>8</v>
      </c>
      <c r="P32" s="267"/>
    </row>
    <row r="33" spans="2:16" ht="34.5" customHeight="1" thickBot="1">
      <c r="B33" s="333" t="s">
        <v>1674</v>
      </c>
      <c r="C33" s="468">
        <v>51063.956190476209</v>
      </c>
      <c r="D33" s="468">
        <v>51046</v>
      </c>
      <c r="E33" s="468">
        <v>17.956190476208576</v>
      </c>
      <c r="F33" s="469">
        <v>3.5164119304092488E-2</v>
      </c>
      <c r="G33" s="468">
        <v>43091.95</v>
      </c>
      <c r="H33" s="470">
        <v>43043</v>
      </c>
      <c r="I33" s="468">
        <v>48.94999999999709</v>
      </c>
      <c r="J33" s="469">
        <v>0.11359430241610577</v>
      </c>
      <c r="M33" s="490">
        <v>45946.05999999999</v>
      </c>
      <c r="N33" s="491">
        <v>45684</v>
      </c>
      <c r="P33" s="267"/>
    </row>
    <row r="34" spans="2:16" ht="24" customHeight="1" thickTop="1">
      <c r="B34" s="331" t="s">
        <v>499</v>
      </c>
      <c r="C34" s="462">
        <v>6203</v>
      </c>
      <c r="D34" s="481">
        <v>6203</v>
      </c>
      <c r="E34" s="462">
        <v>0</v>
      </c>
      <c r="F34" s="463">
        <v>0</v>
      </c>
      <c r="G34" s="462">
        <v>5721.0559841932009</v>
      </c>
      <c r="H34" s="462">
        <v>5718.0540058401348</v>
      </c>
      <c r="I34" s="462">
        <v>3.0019783530660789</v>
      </c>
      <c r="J34" s="463">
        <v>5.2472451962719713E-2</v>
      </c>
      <c r="M34" s="488">
        <v>5114.6000000000004</v>
      </c>
      <c r="N34" s="488">
        <v>5083.6000000000004</v>
      </c>
      <c r="P34" s="267"/>
    </row>
    <row r="35" spans="2:16" ht="24" customHeight="1">
      <c r="B35" s="331" t="s">
        <v>9</v>
      </c>
      <c r="C35" s="462">
        <v>3244.6</v>
      </c>
      <c r="D35" s="462">
        <v>3244.6</v>
      </c>
      <c r="E35" s="462">
        <v>0</v>
      </c>
      <c r="F35" s="463">
        <v>0</v>
      </c>
      <c r="G35" s="462">
        <v>2714.9828428647802</v>
      </c>
      <c r="H35" s="462">
        <v>2714.9828428647802</v>
      </c>
      <c r="I35" s="462">
        <v>0</v>
      </c>
      <c r="J35" s="463">
        <v>0</v>
      </c>
      <c r="M35" s="488">
        <v>2893.4666000000002</v>
      </c>
      <c r="N35" s="488">
        <v>2874</v>
      </c>
      <c r="P35" s="267"/>
    </row>
    <row r="36" spans="2:16" ht="24" customHeight="1">
      <c r="B36" s="331" t="s">
        <v>511</v>
      </c>
      <c r="C36" s="462">
        <v>1638.8</v>
      </c>
      <c r="D36" s="462">
        <v>1638.8</v>
      </c>
      <c r="E36" s="462">
        <v>0</v>
      </c>
      <c r="F36" s="463">
        <v>0</v>
      </c>
      <c r="G36" s="462">
        <v>1370.2652950046611</v>
      </c>
      <c r="H36" s="462">
        <v>1368.3496055568814</v>
      </c>
      <c r="I36" s="462">
        <v>1.9156894477796413</v>
      </c>
      <c r="J36" s="463">
        <v>0.1398042740163776</v>
      </c>
      <c r="M36" s="488">
        <v>1339</v>
      </c>
      <c r="N36" s="488">
        <v>1283.69</v>
      </c>
      <c r="P36" s="267"/>
    </row>
    <row r="37" spans="2:16" ht="24" customHeight="1">
      <c r="B37" s="331" t="s">
        <v>472</v>
      </c>
      <c r="C37" s="462">
        <v>5088</v>
      </c>
      <c r="D37" s="462">
        <v>5088</v>
      </c>
      <c r="E37" s="462">
        <v>0</v>
      </c>
      <c r="F37" s="463">
        <v>0</v>
      </c>
      <c r="G37" s="462">
        <v>4297.2674832394068</v>
      </c>
      <c r="H37" s="462">
        <v>4292.7600851499992</v>
      </c>
      <c r="I37" s="462">
        <v>4.5073980894076158</v>
      </c>
      <c r="J37" s="463">
        <v>0.10488986564107958</v>
      </c>
      <c r="M37" s="488">
        <v>5356.69</v>
      </c>
      <c r="N37" s="488">
        <v>5356.69</v>
      </c>
      <c r="P37" s="267"/>
    </row>
    <row r="38" spans="2:16" ht="26.25" customHeight="1">
      <c r="B38" s="332" t="s">
        <v>1730</v>
      </c>
      <c r="C38" s="462">
        <v>8244</v>
      </c>
      <c r="D38" s="462">
        <v>8244</v>
      </c>
      <c r="E38" s="462">
        <v>0</v>
      </c>
      <c r="F38" s="463">
        <v>0</v>
      </c>
      <c r="G38" s="462">
        <v>8088.6790637303611</v>
      </c>
      <c r="H38" s="462">
        <v>8072.7032003097656</v>
      </c>
      <c r="I38" s="462">
        <v>15.975863420595488</v>
      </c>
      <c r="J38" s="463">
        <v>0.19750892939035328</v>
      </c>
      <c r="M38" s="488">
        <v>9130</v>
      </c>
      <c r="N38" s="488">
        <v>9123</v>
      </c>
      <c r="P38" s="267"/>
    </row>
    <row r="39" spans="2:16" ht="24" customHeight="1">
      <c r="B39" s="332" t="s">
        <v>1731</v>
      </c>
      <c r="C39" s="462">
        <v>96</v>
      </c>
      <c r="D39" s="462">
        <v>96</v>
      </c>
      <c r="E39" s="462">
        <v>0</v>
      </c>
      <c r="F39" s="463">
        <v>0</v>
      </c>
      <c r="G39" s="462">
        <v>84.45729943061248</v>
      </c>
      <c r="H39" s="462">
        <v>84.40560099999999</v>
      </c>
      <c r="I39" s="462">
        <v>5.1698430612489688E-2</v>
      </c>
      <c r="J39" s="463">
        <v>6.1212507339242508E-2</v>
      </c>
      <c r="M39" s="488">
        <v>93</v>
      </c>
      <c r="N39" s="488">
        <v>93</v>
      </c>
      <c r="P39" s="267"/>
    </row>
    <row r="40" spans="2:16" ht="33" customHeight="1">
      <c r="B40" s="336" t="s">
        <v>1732</v>
      </c>
      <c r="C40" s="462">
        <v>58</v>
      </c>
      <c r="D40" s="462">
        <v>54</v>
      </c>
      <c r="E40" s="462">
        <v>4</v>
      </c>
      <c r="F40" s="964">
        <v>6.8965517241379306</v>
      </c>
      <c r="G40" s="462">
        <v>58</v>
      </c>
      <c r="H40" s="462">
        <v>54</v>
      </c>
      <c r="I40" s="462">
        <v>4</v>
      </c>
      <c r="J40" s="964">
        <v>6.8965517241379306</v>
      </c>
      <c r="M40" s="488">
        <v>58</v>
      </c>
      <c r="N40" s="488">
        <v>54</v>
      </c>
      <c r="P40" s="267"/>
    </row>
    <row r="41" spans="2:16" ht="30.75" customHeight="1" thickBot="1">
      <c r="B41" s="334" t="s">
        <v>1675</v>
      </c>
      <c r="C41" s="468">
        <v>23800.388349514564</v>
      </c>
      <c r="D41" s="468">
        <v>23800.388349514564</v>
      </c>
      <c r="E41" s="468">
        <v>0</v>
      </c>
      <c r="F41" s="469">
        <v>0</v>
      </c>
      <c r="G41" s="468">
        <v>21988.633577495995</v>
      </c>
      <c r="H41" s="470">
        <v>21832.170739063298</v>
      </c>
      <c r="I41" s="468">
        <v>156.46283843269703</v>
      </c>
      <c r="J41" s="469">
        <v>0.71156235280043523</v>
      </c>
      <c r="M41" s="490">
        <v>23141</v>
      </c>
      <c r="N41" s="491">
        <v>22733</v>
      </c>
      <c r="P41" s="267"/>
    </row>
    <row r="42" spans="2:16" ht="27.75" customHeight="1" thickTop="1">
      <c r="B42" s="332" t="s">
        <v>526</v>
      </c>
      <c r="C42" s="462">
        <v>141</v>
      </c>
      <c r="D42" s="481">
        <v>141</v>
      </c>
      <c r="E42" s="462">
        <v>0</v>
      </c>
      <c r="F42" s="463">
        <v>0</v>
      </c>
      <c r="G42" s="462">
        <v>145.45400000000001</v>
      </c>
      <c r="H42" s="462">
        <v>119</v>
      </c>
      <c r="I42" s="462">
        <v>26.454000000000008</v>
      </c>
      <c r="J42" s="463">
        <v>18.187193201974509</v>
      </c>
      <c r="M42" s="488">
        <v>138.11969999999999</v>
      </c>
      <c r="N42" s="488">
        <v>133</v>
      </c>
      <c r="P42" s="267"/>
    </row>
    <row r="43" spans="2:16" ht="24" customHeight="1">
      <c r="B43" s="331" t="s">
        <v>512</v>
      </c>
      <c r="C43" s="462">
        <v>2062</v>
      </c>
      <c r="D43" s="462">
        <v>1988</v>
      </c>
      <c r="E43" s="462">
        <v>74</v>
      </c>
      <c r="F43" s="463">
        <v>3.5887487875848687</v>
      </c>
      <c r="G43" s="462">
        <v>1798</v>
      </c>
      <c r="H43" s="462">
        <v>1798</v>
      </c>
      <c r="I43" s="462">
        <v>0</v>
      </c>
      <c r="J43" s="463">
        <v>0</v>
      </c>
      <c r="M43" s="488">
        <v>1865.26</v>
      </c>
      <c r="N43" s="488">
        <v>1809</v>
      </c>
      <c r="P43" s="267"/>
    </row>
    <row r="44" spans="2:16" ht="24" customHeight="1">
      <c r="B44" s="331" t="s">
        <v>515</v>
      </c>
      <c r="C44" s="462">
        <v>212</v>
      </c>
      <c r="D44" s="462">
        <v>210</v>
      </c>
      <c r="E44" s="462">
        <v>2</v>
      </c>
      <c r="F44" s="463">
        <v>0.94339622641509435</v>
      </c>
      <c r="G44" s="462">
        <v>220</v>
      </c>
      <c r="H44" s="462">
        <v>201</v>
      </c>
      <c r="I44" s="462">
        <v>19</v>
      </c>
      <c r="J44" s="463">
        <v>8.6363636363636367</v>
      </c>
      <c r="M44" s="488">
        <v>192.88839999999999</v>
      </c>
      <c r="N44" s="488">
        <v>186</v>
      </c>
      <c r="P44" s="267"/>
    </row>
    <row r="45" spans="2:16" ht="24" customHeight="1">
      <c r="B45" s="331" t="s">
        <v>514</v>
      </c>
      <c r="C45" s="462">
        <v>322</v>
      </c>
      <c r="D45" s="462">
        <v>322</v>
      </c>
      <c r="E45" s="462">
        <v>0</v>
      </c>
      <c r="F45" s="463">
        <v>0</v>
      </c>
      <c r="G45" s="462">
        <v>335</v>
      </c>
      <c r="H45" s="462">
        <v>335</v>
      </c>
      <c r="I45" s="462">
        <v>0</v>
      </c>
      <c r="J45" s="463">
        <v>0</v>
      </c>
      <c r="M45" s="488">
        <v>370.59403200000008</v>
      </c>
      <c r="N45" s="488">
        <v>368.16</v>
      </c>
      <c r="P45" s="267"/>
    </row>
    <row r="46" spans="2:16" ht="24" customHeight="1">
      <c r="B46" s="331" t="s">
        <v>517</v>
      </c>
      <c r="C46" s="462">
        <v>105</v>
      </c>
      <c r="D46" s="462">
        <v>105</v>
      </c>
      <c r="E46" s="462">
        <v>0</v>
      </c>
      <c r="F46" s="463">
        <v>0</v>
      </c>
      <c r="G46" s="462">
        <v>101</v>
      </c>
      <c r="H46" s="462">
        <v>101</v>
      </c>
      <c r="I46" s="462">
        <v>0</v>
      </c>
      <c r="J46" s="463">
        <v>0</v>
      </c>
      <c r="M46" s="488">
        <v>102.574141</v>
      </c>
      <c r="N46" s="488">
        <v>98.39</v>
      </c>
      <c r="P46" s="267"/>
    </row>
    <row r="47" spans="2:16" ht="24" customHeight="1">
      <c r="B47" s="331" t="s">
        <v>516</v>
      </c>
      <c r="C47" s="462">
        <v>158</v>
      </c>
      <c r="D47" s="462">
        <v>150</v>
      </c>
      <c r="E47" s="462">
        <v>8</v>
      </c>
      <c r="F47" s="463">
        <v>5.0632911392405067</v>
      </c>
      <c r="G47" s="462">
        <v>150.82900000000001</v>
      </c>
      <c r="H47" s="462">
        <v>143</v>
      </c>
      <c r="I47" s="462">
        <v>7.8290000000000077</v>
      </c>
      <c r="J47" s="463">
        <v>5.1906463611109315</v>
      </c>
      <c r="M47" s="488">
        <v>155.714156</v>
      </c>
      <c r="N47" s="488">
        <v>137.53</v>
      </c>
      <c r="P47" s="267"/>
    </row>
    <row r="48" spans="2:16" ht="24" customHeight="1">
      <c r="B48" s="331" t="s">
        <v>1733</v>
      </c>
      <c r="C48" s="462">
        <v>287</v>
      </c>
      <c r="D48" s="462">
        <v>287</v>
      </c>
      <c r="E48" s="462">
        <v>0</v>
      </c>
      <c r="F48" s="463">
        <v>0</v>
      </c>
      <c r="G48" s="462">
        <v>287</v>
      </c>
      <c r="H48" s="462">
        <v>287</v>
      </c>
      <c r="I48" s="462">
        <v>0</v>
      </c>
      <c r="J48" s="463">
        <v>0</v>
      </c>
      <c r="M48" s="488">
        <v>298.1232</v>
      </c>
      <c r="N48" s="488">
        <v>293</v>
      </c>
      <c r="P48" s="267"/>
    </row>
    <row r="49" spans="2:16" ht="41.25" customHeight="1" thickBot="1">
      <c r="B49" s="1050" t="s">
        <v>1734</v>
      </c>
      <c r="C49" s="468">
        <v>3060</v>
      </c>
      <c r="D49" s="468">
        <v>3053</v>
      </c>
      <c r="E49" s="468">
        <v>7</v>
      </c>
      <c r="F49" s="469">
        <v>0.22875816993464054</v>
      </c>
      <c r="G49" s="468">
        <v>2940.4609999999998</v>
      </c>
      <c r="H49" s="470">
        <v>2884</v>
      </c>
      <c r="I49" s="468">
        <v>56.460999999999785</v>
      </c>
      <c r="J49" s="493">
        <v>1.920141093522403</v>
      </c>
      <c r="M49" s="490">
        <v>2966.5950000000003</v>
      </c>
      <c r="N49" s="491">
        <v>2850</v>
      </c>
      <c r="P49" s="267"/>
    </row>
    <row r="50" spans="2:16" ht="32.25" customHeight="1" thickTop="1" thickBot="1">
      <c r="B50" s="337" t="s">
        <v>1735</v>
      </c>
      <c r="C50" s="494">
        <v>193849.7693441126</v>
      </c>
      <c r="D50" s="494">
        <v>191514</v>
      </c>
      <c r="E50" s="470">
        <v>2335.769344112603</v>
      </c>
      <c r="F50" s="495">
        <v>1.2049379021783924</v>
      </c>
      <c r="G50" s="468">
        <v>166686.36490351561</v>
      </c>
      <c r="H50" s="470">
        <v>164981.61694335937</v>
      </c>
      <c r="I50" s="470">
        <v>1704.7479601562372</v>
      </c>
      <c r="J50" s="495">
        <v>1.0227279004752488</v>
      </c>
      <c r="M50" s="490">
        <v>177022.27263644998</v>
      </c>
      <c r="N50" s="491">
        <v>175527.92578125</v>
      </c>
      <c r="P50" s="267"/>
    </row>
    <row r="51" spans="2:16" ht="24.75" customHeight="1" thickTop="1">
      <c r="B51" s="1495"/>
      <c r="C51" s="1495"/>
      <c r="D51" s="1495"/>
      <c r="E51" s="1495"/>
      <c r="F51" s="1495"/>
      <c r="G51" s="1495"/>
      <c r="H51" s="1495"/>
      <c r="I51" s="1495"/>
      <c r="J51" s="1495"/>
    </row>
    <row r="52" spans="2:16" ht="22.5" customHeight="1">
      <c r="B52" s="1496" t="s">
        <v>1509</v>
      </c>
      <c r="C52" s="1497"/>
      <c r="D52" s="1497"/>
      <c r="E52" s="1497"/>
      <c r="F52" s="1497"/>
      <c r="G52" s="1497"/>
      <c r="H52" s="1497"/>
      <c r="I52" s="1497"/>
      <c r="J52" s="1497"/>
    </row>
    <row r="53" spans="2:16" ht="18" customHeight="1">
      <c r="B53" s="1498" t="s">
        <v>1510</v>
      </c>
      <c r="C53" s="1498"/>
      <c r="D53" s="1498"/>
      <c r="E53" s="1498"/>
      <c r="F53" s="1498"/>
      <c r="G53" s="1498"/>
      <c r="H53" s="1498"/>
      <c r="I53" s="1498"/>
      <c r="J53" s="1498"/>
    </row>
    <row r="54" spans="2:16" ht="18" customHeight="1" thickBot="1">
      <c r="C54" s="496"/>
      <c r="D54" s="496"/>
      <c r="E54" s="496"/>
      <c r="F54" s="704"/>
      <c r="G54" s="335"/>
      <c r="H54" s="436"/>
      <c r="K54" s="1463">
        <v>24</v>
      </c>
    </row>
    <row r="55" spans="2:16" ht="18" customHeight="1" thickBot="1">
      <c r="C55" s="496"/>
      <c r="D55" s="496"/>
      <c r="E55" s="335"/>
      <c r="F55" s="335"/>
      <c r="G55" s="335"/>
      <c r="H55" s="705"/>
    </row>
    <row r="56" spans="2:16" ht="18" customHeight="1">
      <c r="C56" s="335"/>
      <c r="D56" s="496"/>
      <c r="E56" s="335"/>
      <c r="F56" s="335"/>
      <c r="G56" s="335"/>
      <c r="H56" s="195"/>
    </row>
    <row r="57" spans="2:16" ht="18" customHeight="1">
      <c r="C57" s="497"/>
      <c r="D57" s="335"/>
      <c r="E57" s="1886"/>
      <c r="F57" s="1886"/>
      <c r="G57" s="1886"/>
    </row>
    <row r="58" spans="2:16" ht="18" customHeight="1">
      <c r="C58" s="498" t="s">
        <v>711</v>
      </c>
      <c r="D58" s="498">
        <v>1.0312182299772075</v>
      </c>
      <c r="E58" s="498"/>
      <c r="F58" s="498"/>
      <c r="G58" s="498"/>
    </row>
    <row r="434" ht="23.25" customHeight="1"/>
  </sheetData>
  <mergeCells count="6">
    <mergeCell ref="E57:G57"/>
    <mergeCell ref="M4:P4"/>
    <mergeCell ref="O19:Q19"/>
    <mergeCell ref="B2:J2"/>
    <mergeCell ref="C4:F4"/>
    <mergeCell ref="G4:J4"/>
  </mergeCells>
  <conditionalFormatting sqref="I8:I50">
    <cfRule type="containsText" dxfId="17" priority="2" stopIfTrue="1" operator="containsText" text="Error">
      <formula>NOT(ISERROR(SEARCH("Error",I8)))</formula>
    </cfRule>
  </conditionalFormatting>
  <conditionalFormatting sqref="E8:E50">
    <cfRule type="containsText" dxfId="16" priority="1" stopIfTrue="1" operator="containsText" text="Error">
      <formula>NOT(ISERROR(SEARCH("Error",E8)))</formula>
    </cfRule>
  </conditionalFormatting>
  <printOptions horizontalCentered="1" verticalCentered="1"/>
  <pageMargins left="0.75" right="0.75" top="1" bottom="1" header="0.5" footer="0.5"/>
  <pageSetup scale="4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002060"/>
  </sheetPr>
  <dimension ref="B1:Q435"/>
  <sheetViews>
    <sheetView view="pageBreakPreview" zoomScale="64" zoomScaleNormal="75" zoomScaleSheetLayoutView="64" workbookViewId="0">
      <selection activeCell="J28" sqref="J28"/>
    </sheetView>
  </sheetViews>
  <sheetFormatPr defaultColWidth="9.140625" defaultRowHeight="18" customHeight="1"/>
  <cols>
    <col min="1" max="1" width="9.140625" style="521"/>
    <col min="2" max="2" width="48.85546875" style="521" customWidth="1"/>
    <col min="3" max="3" width="21.42578125" style="521" customWidth="1"/>
    <col min="4" max="4" width="19.85546875" style="521" customWidth="1"/>
    <col min="5" max="5" width="14.85546875" style="521" customWidth="1"/>
    <col min="6" max="6" width="15.28515625" style="521" customWidth="1"/>
    <col min="7" max="7" width="22.42578125" style="521" customWidth="1"/>
    <col min="8" max="8" width="21.28515625" style="521" customWidth="1"/>
    <col min="9" max="9" width="13.140625" style="521" customWidth="1"/>
    <col min="10" max="10" width="17" style="521" customWidth="1"/>
    <col min="11" max="12" width="9.140625" style="521"/>
    <col min="13" max="13" width="13.85546875" style="521" customWidth="1"/>
    <col min="14" max="14" width="13.140625" style="521" customWidth="1"/>
    <col min="15" max="15" width="5.7109375" style="521" customWidth="1"/>
    <col min="16" max="16" width="1.28515625" style="521" customWidth="1"/>
    <col min="17" max="16384" width="9.140625" style="521"/>
  </cols>
  <sheetData>
    <row r="1" spans="2:16" ht="18" customHeight="1">
      <c r="B1" s="571"/>
      <c r="C1" s="571"/>
      <c r="D1" s="571"/>
      <c r="E1" s="571"/>
      <c r="F1" s="571"/>
      <c r="G1" s="571"/>
      <c r="H1" s="571"/>
      <c r="I1" s="571"/>
      <c r="J1" s="571"/>
    </row>
    <row r="2" spans="2:16" ht="33.6" customHeight="1">
      <c r="B2" s="1882" t="s">
        <v>1988</v>
      </c>
      <c r="C2" s="1882"/>
      <c r="D2" s="1882"/>
      <c r="E2" s="1882"/>
      <c r="F2" s="1882"/>
      <c r="G2" s="1882"/>
      <c r="H2" s="1882"/>
      <c r="I2" s="1882"/>
      <c r="J2" s="1882"/>
    </row>
    <row r="3" spans="2:16" ht="25.5" customHeight="1">
      <c r="B3" s="571"/>
      <c r="C3" s="320"/>
      <c r="D3" s="320"/>
      <c r="E3" s="320"/>
      <c r="F3" s="320"/>
      <c r="G3" s="451"/>
      <c r="H3" s="451"/>
      <c r="I3" s="451"/>
      <c r="J3" s="321" t="s">
        <v>1989</v>
      </c>
    </row>
    <row r="4" spans="2:16" ht="25.9" customHeight="1">
      <c r="B4" s="1053" t="s">
        <v>1743</v>
      </c>
      <c r="C4" s="1054" t="s">
        <v>1990</v>
      </c>
      <c r="D4" s="1055"/>
      <c r="E4" s="1055"/>
      <c r="F4" s="1104"/>
      <c r="G4" s="1054" t="s">
        <v>1738</v>
      </c>
      <c r="H4" s="1055"/>
      <c r="I4" s="1056"/>
      <c r="J4" s="1057"/>
      <c r="M4" s="1891" t="s">
        <v>950</v>
      </c>
      <c r="N4" s="1892"/>
      <c r="O4" s="1892"/>
      <c r="P4" s="1893"/>
    </row>
    <row r="5" spans="2:16" ht="33.75" customHeight="1">
      <c r="B5" s="1058"/>
      <c r="C5" s="708" t="s">
        <v>1744</v>
      </c>
      <c r="D5" s="322" t="s">
        <v>1745</v>
      </c>
      <c r="E5" s="1105" t="s">
        <v>1746</v>
      </c>
      <c r="F5" s="1106"/>
      <c r="G5" s="708" t="s">
        <v>1744</v>
      </c>
      <c r="H5" s="322" t="s">
        <v>1745</v>
      </c>
      <c r="I5" s="1059" t="s">
        <v>1746</v>
      </c>
      <c r="J5" s="1060"/>
    </row>
    <row r="6" spans="2:16" ht="24" customHeight="1">
      <c r="B6" s="323" t="s">
        <v>1747</v>
      </c>
      <c r="C6" s="324" t="s">
        <v>1722</v>
      </c>
      <c r="D6" s="1095" t="s">
        <v>1723</v>
      </c>
      <c r="E6" s="1061" t="s">
        <v>1724</v>
      </c>
      <c r="F6" s="1062"/>
      <c r="G6" s="452" t="s">
        <v>1722</v>
      </c>
      <c r="H6" s="1095" t="s">
        <v>1723</v>
      </c>
      <c r="I6" s="1061" t="s">
        <v>1724</v>
      </c>
      <c r="J6" s="1062"/>
      <c r="M6" s="537" t="s">
        <v>495</v>
      </c>
      <c r="N6" s="537" t="s">
        <v>518</v>
      </c>
    </row>
    <row r="7" spans="2:16" ht="27.6" customHeight="1">
      <c r="B7" s="325" t="s">
        <v>1748</v>
      </c>
      <c r="C7" s="326" t="s">
        <v>496</v>
      </c>
      <c r="D7" s="327" t="s">
        <v>496</v>
      </c>
      <c r="E7" s="327" t="s">
        <v>496</v>
      </c>
      <c r="F7" s="441" t="s">
        <v>1726</v>
      </c>
      <c r="G7" s="453" t="s">
        <v>496</v>
      </c>
      <c r="H7" s="327" t="s">
        <v>496</v>
      </c>
      <c r="I7" s="327" t="s">
        <v>496</v>
      </c>
      <c r="J7" s="441" t="s">
        <v>1726</v>
      </c>
      <c r="M7" s="536" t="s">
        <v>496</v>
      </c>
      <c r="N7" s="536" t="s">
        <v>496</v>
      </c>
    </row>
    <row r="8" spans="2:16" ht="24" customHeight="1">
      <c r="B8" s="454" t="s">
        <v>745</v>
      </c>
      <c r="C8" s="455">
        <v>127.41</v>
      </c>
      <c r="D8" s="455">
        <v>127.41</v>
      </c>
      <c r="E8" s="456">
        <v>0</v>
      </c>
      <c r="F8" s="457">
        <v>0</v>
      </c>
      <c r="G8" s="455">
        <v>232.8</v>
      </c>
      <c r="H8" s="455">
        <v>232.8</v>
      </c>
      <c r="I8" s="456">
        <v>0</v>
      </c>
      <c r="J8" s="457">
        <v>0</v>
      </c>
      <c r="M8" s="535">
        <v>118.977</v>
      </c>
      <c r="N8" s="534">
        <v>118.977</v>
      </c>
    </row>
    <row r="9" spans="2:16" ht="24" customHeight="1">
      <c r="B9" s="328" t="s">
        <v>1507</v>
      </c>
      <c r="C9" s="460">
        <v>2328.3539999999998</v>
      </c>
      <c r="D9" s="461">
        <v>2328.12</v>
      </c>
      <c r="E9" s="462">
        <v>0.2339999999999236</v>
      </c>
      <c r="F9" s="463">
        <v>1.0050018167337253E-2</v>
      </c>
      <c r="G9" s="460">
        <v>4568.1409999999996</v>
      </c>
      <c r="H9" s="461">
        <v>4567.5709999999999</v>
      </c>
      <c r="I9" s="462">
        <v>0.56999999999970896</v>
      </c>
      <c r="J9" s="463">
        <v>1.2477723432786095E-2</v>
      </c>
      <c r="M9" s="533">
        <v>2635.92</v>
      </c>
      <c r="N9" s="528">
        <v>2634.4650000000001</v>
      </c>
    </row>
    <row r="10" spans="2:16" ht="24" customHeight="1">
      <c r="B10" s="328" t="s">
        <v>746</v>
      </c>
      <c r="C10" s="460">
        <v>4134.6040000000003</v>
      </c>
      <c r="D10" s="461">
        <v>4133.38</v>
      </c>
      <c r="E10" s="462">
        <v>1.2240000000001601</v>
      </c>
      <c r="F10" s="463">
        <v>2.9603802443962227E-2</v>
      </c>
      <c r="G10" s="460">
        <v>8007.76</v>
      </c>
      <c r="H10" s="461">
        <v>7998.98</v>
      </c>
      <c r="I10" s="462">
        <v>8.7800000000006548</v>
      </c>
      <c r="J10" s="463">
        <v>0.10964364566371437</v>
      </c>
      <c r="M10" s="533">
        <v>3772.85</v>
      </c>
      <c r="N10" s="528">
        <v>3772.85</v>
      </c>
    </row>
    <row r="11" spans="2:16" ht="24" customHeight="1">
      <c r="B11" s="329" t="s">
        <v>45</v>
      </c>
      <c r="C11" s="460">
        <v>880.75000000000011</v>
      </c>
      <c r="D11" s="466">
        <v>879.97800000000007</v>
      </c>
      <c r="E11" s="462">
        <v>0.7720000000000482</v>
      </c>
      <c r="F11" s="463">
        <v>8.7652568833386096E-2</v>
      </c>
      <c r="G11" s="460">
        <v>1755.9830000000002</v>
      </c>
      <c r="H11" s="466">
        <v>1751.5720000000001</v>
      </c>
      <c r="I11" s="462">
        <v>4.4110000000000582</v>
      </c>
      <c r="J11" s="463">
        <v>0.25119833164672195</v>
      </c>
      <c r="M11" s="533">
        <v>753.36099999999999</v>
      </c>
      <c r="N11" s="528">
        <v>748.98199999999997</v>
      </c>
    </row>
    <row r="12" spans="2:16" ht="24" customHeight="1">
      <c r="B12" s="1049" t="s">
        <v>1508</v>
      </c>
      <c r="C12" s="460">
        <v>1717.87</v>
      </c>
      <c r="D12" s="466">
        <v>1601.62</v>
      </c>
      <c r="E12" s="462">
        <v>116.25</v>
      </c>
      <c r="F12" s="463">
        <v>6.7671011194095021</v>
      </c>
      <c r="G12" s="460">
        <v>3482.14</v>
      </c>
      <c r="H12" s="466">
        <v>3173.89</v>
      </c>
      <c r="I12" s="462">
        <v>308.25</v>
      </c>
      <c r="J12" s="463">
        <v>8.8523149557456051</v>
      </c>
      <c r="M12" s="533">
        <v>1581.9</v>
      </c>
      <c r="N12" s="528">
        <v>1267.037</v>
      </c>
    </row>
    <row r="13" spans="2:16" ht="24" customHeight="1">
      <c r="B13" s="329" t="s">
        <v>46</v>
      </c>
      <c r="C13" s="460">
        <v>4639.34</v>
      </c>
      <c r="D13" s="466">
        <v>4639.34</v>
      </c>
      <c r="E13" s="462">
        <v>0</v>
      </c>
      <c r="F13" s="463">
        <v>0</v>
      </c>
      <c r="G13" s="460">
        <v>8357.11</v>
      </c>
      <c r="H13" s="466">
        <v>8350.23</v>
      </c>
      <c r="I13" s="462">
        <v>6.8800000000010186</v>
      </c>
      <c r="J13" s="463">
        <v>8.2325109996171139E-2</v>
      </c>
      <c r="M13" s="533">
        <v>3575.1400000000003</v>
      </c>
      <c r="N13" s="528">
        <v>3575.1400000000003</v>
      </c>
    </row>
    <row r="14" spans="2:16" ht="24" customHeight="1">
      <c r="B14" s="329" t="s">
        <v>47</v>
      </c>
      <c r="C14" s="460">
        <v>6600.0800000000008</v>
      </c>
      <c r="D14" s="466">
        <v>6596.4000000000005</v>
      </c>
      <c r="E14" s="462">
        <v>3.680000000000291</v>
      </c>
      <c r="F14" s="463">
        <v>5.5756899916369056E-2</v>
      </c>
      <c r="G14" s="460">
        <v>13115.010000000002</v>
      </c>
      <c r="H14" s="466">
        <v>13105.84</v>
      </c>
      <c r="I14" s="462">
        <v>9.1700000000018917</v>
      </c>
      <c r="J14" s="463">
        <v>6.991988568824492E-2</v>
      </c>
      <c r="M14" s="533">
        <v>5698.9600000000019</v>
      </c>
      <c r="N14" s="528">
        <v>5674.2100000000019</v>
      </c>
    </row>
    <row r="15" spans="2:16" ht="24" customHeight="1">
      <c r="B15" s="329" t="s">
        <v>747</v>
      </c>
      <c r="C15" s="460">
        <v>10605.289999999999</v>
      </c>
      <c r="D15" s="466">
        <v>10501.509999999998</v>
      </c>
      <c r="E15" s="462">
        <v>103.78000000000065</v>
      </c>
      <c r="F15" s="463">
        <v>0.97856824282976385</v>
      </c>
      <c r="G15" s="460">
        <v>20748.384999999998</v>
      </c>
      <c r="H15" s="466">
        <v>20550.579999999998</v>
      </c>
      <c r="I15" s="462">
        <v>197.80500000000029</v>
      </c>
      <c r="J15" s="463">
        <v>0.95335130902959586</v>
      </c>
      <c r="M15" s="533">
        <v>9347.719000000001</v>
      </c>
      <c r="N15" s="528">
        <v>9275.2590000000018</v>
      </c>
    </row>
    <row r="16" spans="2:16" ht="24" customHeight="1">
      <c r="B16" s="329" t="s">
        <v>748</v>
      </c>
      <c r="C16" s="460">
        <v>1075.2150000000001</v>
      </c>
      <c r="D16" s="466">
        <v>1075.2150000000001</v>
      </c>
      <c r="E16" s="462">
        <v>0</v>
      </c>
      <c r="F16" s="463">
        <v>0</v>
      </c>
      <c r="G16" s="460">
        <v>2232.2060000000001</v>
      </c>
      <c r="H16" s="466">
        <v>2228.1580000000004</v>
      </c>
      <c r="I16" s="462">
        <v>4.0479999999997744</v>
      </c>
      <c r="J16" s="463">
        <v>0.18134527010498916</v>
      </c>
      <c r="M16" s="533">
        <v>1105.616</v>
      </c>
      <c r="N16" s="528">
        <v>1103.395</v>
      </c>
    </row>
    <row r="17" spans="2:14" ht="24" customHeight="1" thickBot="1">
      <c r="B17" s="330" t="s">
        <v>749</v>
      </c>
      <c r="C17" s="467">
        <v>32108.913000000004</v>
      </c>
      <c r="D17" s="467">
        <v>31882.972999999998</v>
      </c>
      <c r="E17" s="468">
        <v>225.94000000000597</v>
      </c>
      <c r="F17" s="469">
        <v>0.70366754551923305</v>
      </c>
      <c r="G17" s="470">
        <v>62499.535000000003</v>
      </c>
      <c r="H17" s="471">
        <v>61959.620999999999</v>
      </c>
      <c r="I17" s="468">
        <v>539.91400000000431</v>
      </c>
      <c r="J17" s="469">
        <v>0.86386882718408109</v>
      </c>
      <c r="M17" s="532">
        <v>28590.443000000007</v>
      </c>
      <c r="N17" s="532">
        <v>28170.315000000006</v>
      </c>
    </row>
    <row r="18" spans="2:14" ht="24" customHeight="1" thickTop="1">
      <c r="B18" s="331" t="s">
        <v>715</v>
      </c>
      <c r="C18" s="462">
        <v>2496.2241465778916</v>
      </c>
      <c r="D18" s="473">
        <v>2496.2241465778916</v>
      </c>
      <c r="E18" s="462">
        <v>0</v>
      </c>
      <c r="F18" s="474">
        <v>0</v>
      </c>
      <c r="G18" s="461">
        <v>5321.9496277678027</v>
      </c>
      <c r="H18" s="460">
        <v>5320.7833582038029</v>
      </c>
      <c r="I18" s="462">
        <v>1.1662695639997764</v>
      </c>
      <c r="J18" s="463">
        <v>2.1914329250969394E-2</v>
      </c>
      <c r="M18" s="525">
        <v>2303.1</v>
      </c>
      <c r="N18" s="526">
        <v>2302.0699999999997</v>
      </c>
    </row>
    <row r="19" spans="2:14" ht="24" customHeight="1">
      <c r="B19" s="331" t="s">
        <v>48</v>
      </c>
      <c r="C19" s="462">
        <v>10076.113778295581</v>
      </c>
      <c r="D19" s="462">
        <v>10076.113778295581</v>
      </c>
      <c r="E19" s="462">
        <v>0</v>
      </c>
      <c r="F19" s="463">
        <v>0</v>
      </c>
      <c r="G19" s="462">
        <v>21347.326013359227</v>
      </c>
      <c r="H19" s="460">
        <v>21347.326013359227</v>
      </c>
      <c r="I19" s="462">
        <v>0</v>
      </c>
      <c r="J19" s="463">
        <v>0</v>
      </c>
      <c r="M19" s="525">
        <v>10021.00045</v>
      </c>
      <c r="N19" s="525">
        <v>10021.00045</v>
      </c>
    </row>
    <row r="20" spans="2:14" ht="24" customHeight="1">
      <c r="B20" s="331" t="s">
        <v>49</v>
      </c>
      <c r="C20" s="462">
        <v>6482.8692857180004</v>
      </c>
      <c r="D20" s="462">
        <v>6482.8692857180004</v>
      </c>
      <c r="E20" s="462">
        <v>0</v>
      </c>
      <c r="F20" s="463">
        <v>0</v>
      </c>
      <c r="G20" s="462">
        <v>13283.150307592001</v>
      </c>
      <c r="H20" s="460">
        <v>13283.150307592001</v>
      </c>
      <c r="I20" s="462">
        <v>0</v>
      </c>
      <c r="J20" s="463">
        <v>0</v>
      </c>
      <c r="M20" s="525">
        <v>5489.72580414</v>
      </c>
      <c r="N20" s="525">
        <v>5489.72580414</v>
      </c>
    </row>
    <row r="21" spans="2:14" ht="24" customHeight="1">
      <c r="B21" s="331" t="s">
        <v>50</v>
      </c>
      <c r="C21" s="462">
        <v>14465.113382000003</v>
      </c>
      <c r="D21" s="462">
        <v>14465.113382000003</v>
      </c>
      <c r="E21" s="462">
        <v>0</v>
      </c>
      <c r="F21" s="463">
        <v>0</v>
      </c>
      <c r="G21" s="462">
        <v>30100.740227056005</v>
      </c>
      <c r="H21" s="460">
        <v>30100.716532000006</v>
      </c>
      <c r="I21" s="462">
        <v>2.3695055999269243E-2</v>
      </c>
      <c r="J21" s="463">
        <v>7.8719180394012299E-5</v>
      </c>
      <c r="M21" s="525">
        <v>14289.556999999999</v>
      </c>
      <c r="N21" s="525">
        <v>14289.376999999999</v>
      </c>
    </row>
    <row r="22" spans="2:14" ht="24" customHeight="1">
      <c r="B22" s="331" t="s">
        <v>51</v>
      </c>
      <c r="C22" s="462">
        <v>188.2714</v>
      </c>
      <c r="D22" s="462">
        <v>188.2714</v>
      </c>
      <c r="E22" s="462">
        <v>0</v>
      </c>
      <c r="F22" s="463">
        <v>0</v>
      </c>
      <c r="G22" s="462">
        <v>402.28143999999998</v>
      </c>
      <c r="H22" s="460">
        <v>402.28143999999998</v>
      </c>
      <c r="I22" s="462">
        <v>0</v>
      </c>
      <c r="J22" s="463">
        <v>0</v>
      </c>
      <c r="M22" s="525">
        <v>216.59</v>
      </c>
      <c r="N22" s="525">
        <v>216.59</v>
      </c>
    </row>
    <row r="23" spans="2:14" ht="27.75" customHeight="1">
      <c r="B23" s="477" t="s">
        <v>1991</v>
      </c>
      <c r="C23" s="462">
        <v>484.94495999999998</v>
      </c>
      <c r="D23" s="462">
        <v>484.94495999999998</v>
      </c>
      <c r="E23" s="462">
        <v>0</v>
      </c>
      <c r="F23" s="463">
        <v>0</v>
      </c>
      <c r="G23" s="462">
        <v>1038.0893426279999</v>
      </c>
      <c r="H23" s="460">
        <v>1038.0885599999999</v>
      </c>
      <c r="I23" s="462">
        <v>7.8262800002448785E-4</v>
      </c>
      <c r="J23" s="463">
        <v>7.5391198800211858E-5</v>
      </c>
      <c r="M23" s="525">
        <v>526.91999999999996</v>
      </c>
      <c r="N23" s="525">
        <v>526.91999999999996</v>
      </c>
    </row>
    <row r="24" spans="2:14" ht="24" customHeight="1">
      <c r="B24" s="331" t="s">
        <v>52</v>
      </c>
      <c r="C24" s="462">
        <v>343.0955629799999</v>
      </c>
      <c r="D24" s="462">
        <v>343.0955629799999</v>
      </c>
      <c r="E24" s="462">
        <v>0</v>
      </c>
      <c r="F24" s="463">
        <v>0</v>
      </c>
      <c r="G24" s="462">
        <v>749.03090919999988</v>
      </c>
      <c r="H24" s="460">
        <v>749.02755507999996</v>
      </c>
      <c r="I24" s="462">
        <v>3.3541199999262972E-3</v>
      </c>
      <c r="J24" s="463">
        <v>4.4779460483261694E-4</v>
      </c>
      <c r="M24" s="525">
        <v>387.68200000000007</v>
      </c>
      <c r="N24" s="525">
        <v>387.68200000000007</v>
      </c>
    </row>
    <row r="25" spans="2:14" ht="24" customHeight="1" thickBot="1">
      <c r="B25" s="333" t="s">
        <v>53</v>
      </c>
      <c r="C25" s="468">
        <v>34536.63251557148</v>
      </c>
      <c r="D25" s="468">
        <v>34536.63251557148</v>
      </c>
      <c r="E25" s="468">
        <v>0</v>
      </c>
      <c r="F25" s="469">
        <v>0</v>
      </c>
      <c r="G25" s="468">
        <v>72242.567867603037</v>
      </c>
      <c r="H25" s="470">
        <v>72241.373766235047</v>
      </c>
      <c r="I25" s="468">
        <v>1.1941013679897878</v>
      </c>
      <c r="J25" s="469">
        <v>1.6529054866629112E-3</v>
      </c>
      <c r="M25" s="531">
        <v>33234.57525414</v>
      </c>
      <c r="N25" s="530">
        <v>33233.365254140001</v>
      </c>
    </row>
    <row r="26" spans="2:14" ht="24" customHeight="1" thickTop="1">
      <c r="B26" s="331" t="s">
        <v>54</v>
      </c>
      <c r="C26" s="462">
        <v>5912.7297736420005</v>
      </c>
      <c r="D26" s="462">
        <v>5912.7297736420005</v>
      </c>
      <c r="E26" s="462">
        <v>0</v>
      </c>
      <c r="F26" s="463">
        <v>0</v>
      </c>
      <c r="G26" s="462">
        <v>12195.257049641998</v>
      </c>
      <c r="H26" s="462">
        <v>12192.262321642</v>
      </c>
      <c r="I26" s="462">
        <v>2.9947279999978491</v>
      </c>
      <c r="J26" s="463">
        <v>2.4556497561367612E-2</v>
      </c>
      <c r="M26" s="525">
        <v>5405.8934713799999</v>
      </c>
      <c r="N26" s="526">
        <v>5399.4217273800004</v>
      </c>
    </row>
    <row r="27" spans="2:14" ht="24" customHeight="1">
      <c r="B27" s="331" t="s">
        <v>55</v>
      </c>
      <c r="C27" s="462">
        <v>4779.2801310480008</v>
      </c>
      <c r="D27" s="462">
        <v>4779.2801310480008</v>
      </c>
      <c r="E27" s="462">
        <v>0</v>
      </c>
      <c r="F27" s="463">
        <v>0</v>
      </c>
      <c r="G27" s="462">
        <v>11354.165610048</v>
      </c>
      <c r="H27" s="462">
        <v>11353.112106048</v>
      </c>
      <c r="I27" s="462">
        <v>1.0535039999995206</v>
      </c>
      <c r="J27" s="463">
        <v>9.2785682029088087E-3</v>
      </c>
      <c r="M27" s="525">
        <v>5171.6657636890004</v>
      </c>
      <c r="N27" s="525">
        <v>5165.5657076890002</v>
      </c>
    </row>
    <row r="28" spans="2:14" ht="24" customHeight="1">
      <c r="B28" s="331" t="s">
        <v>56</v>
      </c>
      <c r="C28" s="462">
        <v>5767.7280347216174</v>
      </c>
      <c r="D28" s="462">
        <v>5767.7280347216174</v>
      </c>
      <c r="E28" s="462">
        <v>0</v>
      </c>
      <c r="F28" s="463">
        <v>0</v>
      </c>
      <c r="G28" s="462">
        <v>12993.198477483951</v>
      </c>
      <c r="H28" s="462">
        <v>12992.112237483951</v>
      </c>
      <c r="I28" s="462">
        <v>1.0862400000005437</v>
      </c>
      <c r="J28" s="463">
        <v>8.3600662445270906E-3</v>
      </c>
      <c r="M28" s="525">
        <v>6253.2445945139998</v>
      </c>
      <c r="N28" s="525">
        <v>6245.242370514</v>
      </c>
    </row>
    <row r="29" spans="2:14" ht="24" customHeight="1">
      <c r="B29" s="331" t="s">
        <v>57</v>
      </c>
      <c r="C29" s="462">
        <v>2054.6385825997077</v>
      </c>
      <c r="D29" s="462">
        <v>2051.4150705997076</v>
      </c>
      <c r="E29" s="462">
        <v>3.2235120000000279</v>
      </c>
      <c r="F29" s="463">
        <v>0.15688949031227475</v>
      </c>
      <c r="G29" s="462">
        <v>4474.8492786032439</v>
      </c>
      <c r="H29" s="462">
        <v>4470.6417906032439</v>
      </c>
      <c r="I29" s="462">
        <v>4.2074880000000121</v>
      </c>
      <c r="J29" s="463">
        <v>9.40252450539142E-2</v>
      </c>
      <c r="M29" s="525">
        <v>2263.1867464802995</v>
      </c>
      <c r="N29" s="525">
        <v>2251.2595144802999</v>
      </c>
    </row>
    <row r="30" spans="2:14" ht="24" customHeight="1">
      <c r="B30" s="331" t="s">
        <v>58</v>
      </c>
      <c r="C30" s="462">
        <v>9021.1706592190003</v>
      </c>
      <c r="D30" s="462">
        <v>9021.1706592190003</v>
      </c>
      <c r="E30" s="462">
        <v>0</v>
      </c>
      <c r="F30" s="463">
        <v>0</v>
      </c>
      <c r="G30" s="462">
        <v>19400.140807308999</v>
      </c>
      <c r="H30" s="462">
        <v>19398.688519308998</v>
      </c>
      <c r="I30" s="462">
        <v>1.4522880000004079</v>
      </c>
      <c r="J30" s="463">
        <v>7.4859662846017009E-3</v>
      </c>
      <c r="M30" s="525">
        <v>9873.9802245150004</v>
      </c>
      <c r="N30" s="525">
        <v>9861.8019765150002</v>
      </c>
    </row>
    <row r="31" spans="2:14" ht="24" customHeight="1">
      <c r="B31" s="331" t="s">
        <v>59</v>
      </c>
      <c r="C31" s="462">
        <v>249.18063598099999</v>
      </c>
      <c r="D31" s="462">
        <v>249.18063598099999</v>
      </c>
      <c r="E31" s="462">
        <v>0</v>
      </c>
      <c r="F31" s="463">
        <v>0</v>
      </c>
      <c r="G31" s="462">
        <v>520.23213498099994</v>
      </c>
      <c r="H31" s="462">
        <v>520.19047098099998</v>
      </c>
      <c r="I31" s="462">
        <v>4.1663999999968837E-2</v>
      </c>
      <c r="J31" s="463">
        <v>8.0087324866024469E-3</v>
      </c>
      <c r="M31" s="525">
        <v>243.387175552</v>
      </c>
      <c r="N31" s="525">
        <v>242.23107955200001</v>
      </c>
    </row>
    <row r="32" spans="2:14" ht="24" customHeight="1">
      <c r="B32" s="331" t="s">
        <v>1749</v>
      </c>
      <c r="C32" s="462">
        <v>5.3330000000000002</v>
      </c>
      <c r="D32" s="462">
        <v>5.3330000000000002</v>
      </c>
      <c r="E32" s="462">
        <v>0</v>
      </c>
      <c r="F32" s="964">
        <v>0</v>
      </c>
      <c r="G32" s="462">
        <v>10.442</v>
      </c>
      <c r="H32" s="462">
        <v>10.442</v>
      </c>
      <c r="I32" s="462">
        <v>0</v>
      </c>
      <c r="J32" s="964">
        <v>0</v>
      </c>
      <c r="M32" s="525">
        <v>4</v>
      </c>
      <c r="N32" s="525">
        <v>4</v>
      </c>
    </row>
    <row r="33" spans="2:17" ht="24" customHeight="1" thickBot="1">
      <c r="B33" s="333" t="s">
        <v>60</v>
      </c>
      <c r="C33" s="468">
        <v>27784.727817211329</v>
      </c>
      <c r="D33" s="468">
        <v>27781.504305211325</v>
      </c>
      <c r="E33" s="468">
        <v>3.2235120000041206</v>
      </c>
      <c r="F33" s="469">
        <v>1.1601740428089804E-2</v>
      </c>
      <c r="G33" s="468">
        <v>60937.843358067192</v>
      </c>
      <c r="H33" s="468">
        <v>60927.007446067189</v>
      </c>
      <c r="I33" s="468">
        <v>10.835912000002281</v>
      </c>
      <c r="J33" s="469">
        <v>1.7781909242063423E-2</v>
      </c>
      <c r="M33" s="524">
        <v>29211.357976130304</v>
      </c>
      <c r="N33" s="524">
        <v>29165.522376130302</v>
      </c>
    </row>
    <row r="34" spans="2:17" ht="24" customHeight="1" thickTop="1">
      <c r="B34" s="331" t="s">
        <v>61</v>
      </c>
      <c r="C34" s="462">
        <v>2953.6597608329948</v>
      </c>
      <c r="D34" s="481">
        <v>2927.6597608329948</v>
      </c>
      <c r="E34" s="462">
        <v>26</v>
      </c>
      <c r="F34" s="463">
        <v>0.88026387956977981</v>
      </c>
      <c r="G34" s="462">
        <v>6223.5986421379948</v>
      </c>
      <c r="H34" s="481">
        <v>6179.5116421379944</v>
      </c>
      <c r="I34" s="462">
        <v>44.087000000000444</v>
      </c>
      <c r="J34" s="463">
        <v>0.70838436947880079</v>
      </c>
      <c r="M34" s="525">
        <v>2424.0973482056002</v>
      </c>
      <c r="N34" s="526">
        <v>2413.1030040000001</v>
      </c>
    </row>
    <row r="35" spans="2:17" ht="24" customHeight="1">
      <c r="B35" s="331" t="s">
        <v>1750</v>
      </c>
      <c r="C35" s="462">
        <v>1861.4093036799991</v>
      </c>
      <c r="D35" s="462">
        <v>1861.4093036799991</v>
      </c>
      <c r="E35" s="462">
        <v>0</v>
      </c>
      <c r="F35" s="463">
        <v>0</v>
      </c>
      <c r="G35" s="462">
        <v>3888.7196787529979</v>
      </c>
      <c r="H35" s="462">
        <v>3888.7196787529979</v>
      </c>
      <c r="I35" s="462">
        <v>0</v>
      </c>
      <c r="J35" s="463">
        <v>0</v>
      </c>
      <c r="M35" s="525">
        <v>1820.2579292331998</v>
      </c>
      <c r="N35" s="525">
        <v>1802.9937379999999</v>
      </c>
    </row>
    <row r="36" spans="2:17" ht="24" customHeight="1">
      <c r="B36" s="331" t="s">
        <v>62</v>
      </c>
      <c r="C36" s="462">
        <v>820.19796095499976</v>
      </c>
      <c r="D36" s="462">
        <v>815.48896095499981</v>
      </c>
      <c r="E36" s="462">
        <v>4.7089999999999463</v>
      </c>
      <c r="F36" s="463">
        <v>0.57412968870551806</v>
      </c>
      <c r="G36" s="462">
        <v>1766.6505969820003</v>
      </c>
      <c r="H36" s="462">
        <v>1725.9915969820004</v>
      </c>
      <c r="I36" s="462">
        <v>40.658999999999878</v>
      </c>
      <c r="J36" s="463">
        <v>2.3014737645043311</v>
      </c>
      <c r="M36" s="525">
        <v>702.79944885878001</v>
      </c>
      <c r="N36" s="525">
        <v>673.30082770000001</v>
      </c>
    </row>
    <row r="37" spans="2:17" ht="24" customHeight="1">
      <c r="B37" s="331" t="s">
        <v>63</v>
      </c>
      <c r="C37" s="462">
        <v>3054.0284738515011</v>
      </c>
      <c r="D37" s="462">
        <v>3054.0284738515011</v>
      </c>
      <c r="E37" s="462">
        <v>0</v>
      </c>
      <c r="F37" s="463">
        <v>0</v>
      </c>
      <c r="G37" s="462">
        <v>6173.9446485241242</v>
      </c>
      <c r="H37" s="462">
        <v>6173.9446485241242</v>
      </c>
      <c r="I37" s="462">
        <v>0</v>
      </c>
      <c r="J37" s="463">
        <v>0</v>
      </c>
      <c r="M37" s="525">
        <v>2351.6901275098799</v>
      </c>
      <c r="N37" s="525">
        <v>2348.4023641999997</v>
      </c>
    </row>
    <row r="38" spans="2:17" ht="28.5" customHeight="1">
      <c r="B38" s="332" t="s">
        <v>64</v>
      </c>
      <c r="C38" s="462">
        <v>4522.0097870619984</v>
      </c>
      <c r="D38" s="462">
        <v>4507.6367870619988</v>
      </c>
      <c r="E38" s="462">
        <v>14.372999999999593</v>
      </c>
      <c r="F38" s="463">
        <v>0.31784539788309252</v>
      </c>
      <c r="G38" s="462">
        <v>9938.8474138019992</v>
      </c>
      <c r="H38" s="462">
        <v>9917.4654138019978</v>
      </c>
      <c r="I38" s="462">
        <v>21.382000000001426</v>
      </c>
      <c r="J38" s="463">
        <v>0.21513560989283739</v>
      </c>
      <c r="M38" s="525">
        <v>4410.8721497380011</v>
      </c>
      <c r="N38" s="525">
        <v>4370.3426700000009</v>
      </c>
    </row>
    <row r="39" spans="2:17" ht="26.25" customHeight="1">
      <c r="B39" s="332" t="s">
        <v>65</v>
      </c>
      <c r="C39" s="462">
        <v>45.89251352499997</v>
      </c>
      <c r="D39" s="462">
        <v>45.89251352499997</v>
      </c>
      <c r="E39" s="462">
        <v>0</v>
      </c>
      <c r="F39" s="463">
        <v>0</v>
      </c>
      <c r="G39" s="462">
        <v>91.439684502999995</v>
      </c>
      <c r="H39" s="462">
        <v>91.439684502999995</v>
      </c>
      <c r="I39" s="462">
        <v>0</v>
      </c>
      <c r="J39" s="463">
        <v>0</v>
      </c>
      <c r="M39" s="525">
        <v>42.11664877506</v>
      </c>
      <c r="N39" s="525">
        <v>42.057767900000002</v>
      </c>
    </row>
    <row r="40" spans="2:17" ht="26.25" customHeight="1">
      <c r="B40" s="332" t="s">
        <v>1751</v>
      </c>
      <c r="C40" s="462">
        <v>28.84</v>
      </c>
      <c r="D40" s="462">
        <v>26.92</v>
      </c>
      <c r="E40" s="462">
        <v>1.9199999999999982</v>
      </c>
      <c r="F40" s="964">
        <v>6.6574202496532537</v>
      </c>
      <c r="G40" s="462">
        <v>57.68</v>
      </c>
      <c r="H40" s="462">
        <v>53.84</v>
      </c>
      <c r="I40" s="462">
        <v>3.8399999999999963</v>
      </c>
      <c r="J40" s="463">
        <v>6.6574202496532537</v>
      </c>
      <c r="K40" s="529"/>
      <c r="L40" s="529"/>
      <c r="M40" s="528">
        <v>28.84</v>
      </c>
      <c r="N40" s="528">
        <v>26.92</v>
      </c>
      <c r="P40" s="527"/>
      <c r="Q40" s="527"/>
    </row>
    <row r="41" spans="2:17" ht="24" customHeight="1" thickBot="1">
      <c r="B41" s="334" t="s">
        <v>66</v>
      </c>
      <c r="C41" s="468">
        <v>13257.197799906491</v>
      </c>
      <c r="D41" s="468">
        <v>13212.115799906493</v>
      </c>
      <c r="E41" s="468">
        <v>45.081999999998516</v>
      </c>
      <c r="F41" s="469">
        <v>0.34005678032741204</v>
      </c>
      <c r="G41" s="468">
        <v>28083.200664702112</v>
      </c>
      <c r="H41" s="468">
        <v>27977.072664702115</v>
      </c>
      <c r="I41" s="468">
        <v>106.12799999999697</v>
      </c>
      <c r="J41" s="469">
        <v>0.37790564283290434</v>
      </c>
      <c r="M41" s="524">
        <v>11751.833652320522</v>
      </c>
      <c r="N41" s="524">
        <v>11650.2003718</v>
      </c>
    </row>
    <row r="42" spans="2:17" ht="27" customHeight="1" thickTop="1">
      <c r="B42" s="332" t="s">
        <v>67</v>
      </c>
      <c r="C42" s="462">
        <v>60.090956396046671</v>
      </c>
      <c r="D42" s="481">
        <v>59.818902066666666</v>
      </c>
      <c r="E42" s="462">
        <v>0.27205432938000484</v>
      </c>
      <c r="F42" s="463">
        <v>0.45273755935411114</v>
      </c>
      <c r="G42" s="462">
        <v>125.22543721224667</v>
      </c>
      <c r="H42" s="481">
        <v>124.70284806666668</v>
      </c>
      <c r="I42" s="462">
        <v>0.52258914557999958</v>
      </c>
      <c r="J42" s="463">
        <v>0.41731868317956405</v>
      </c>
      <c r="M42" s="525">
        <v>69.797491430755883</v>
      </c>
      <c r="N42" s="526">
        <v>68.551925853</v>
      </c>
    </row>
    <row r="43" spans="2:17" ht="24" customHeight="1">
      <c r="B43" s="331" t="s">
        <v>68</v>
      </c>
      <c r="C43" s="462">
        <v>843.79043166068379</v>
      </c>
      <c r="D43" s="462">
        <v>843.79043166068379</v>
      </c>
      <c r="E43" s="462">
        <v>0</v>
      </c>
      <c r="F43" s="463">
        <v>0</v>
      </c>
      <c r="G43" s="462">
        <v>1697.9657097460376</v>
      </c>
      <c r="H43" s="462">
        <v>1679.3163675267974</v>
      </c>
      <c r="I43" s="462">
        <v>18.649342219240225</v>
      </c>
      <c r="J43" s="463">
        <v>1.0983344429275654</v>
      </c>
      <c r="M43" s="525">
        <v>680.18917724995538</v>
      </c>
      <c r="N43" s="525">
        <v>644.41686288300002</v>
      </c>
    </row>
    <row r="44" spans="2:17" ht="24" customHeight="1">
      <c r="B44" s="331" t="s">
        <v>69</v>
      </c>
      <c r="C44" s="462">
        <v>76.458151304620003</v>
      </c>
      <c r="D44" s="462">
        <v>76.110984599999995</v>
      </c>
      <c r="E44" s="462">
        <v>0.3471667046200082</v>
      </c>
      <c r="F44" s="463">
        <v>0.45406107615242663</v>
      </c>
      <c r="G44" s="462">
        <v>150.27252677820002</v>
      </c>
      <c r="H44" s="462">
        <v>149.59740600000003</v>
      </c>
      <c r="I44" s="462">
        <v>0.6751207781999824</v>
      </c>
      <c r="J44" s="463">
        <v>0.44926427516351708</v>
      </c>
      <c r="M44" s="525">
        <v>64.989230326920307</v>
      </c>
      <c r="N44" s="525">
        <v>63.813086401000014</v>
      </c>
    </row>
    <row r="45" spans="2:17" ht="24" customHeight="1">
      <c r="B45" s="331" t="s">
        <v>70</v>
      </c>
      <c r="C45" s="462">
        <v>164.25813191016039</v>
      </c>
      <c r="D45" s="462">
        <v>164.24740613199998</v>
      </c>
      <c r="E45" s="462">
        <v>1.0725778160406207E-2</v>
      </c>
      <c r="F45" s="463">
        <v>6.5298308434876039E-3</v>
      </c>
      <c r="G45" s="462">
        <v>328.43237133536888</v>
      </c>
      <c r="H45" s="462">
        <v>315.44700543700003</v>
      </c>
      <c r="I45" s="462">
        <v>12.985365898368855</v>
      </c>
      <c r="J45" s="463">
        <v>3.9537411752598639</v>
      </c>
      <c r="M45" s="525">
        <v>131.73871863466158</v>
      </c>
      <c r="N45" s="525">
        <v>131.69920887199999</v>
      </c>
    </row>
    <row r="46" spans="2:17" ht="24" customHeight="1">
      <c r="B46" s="331" t="s">
        <v>71</v>
      </c>
      <c r="C46" s="462">
        <v>52.392135269720008</v>
      </c>
      <c r="D46" s="462">
        <v>52.10776760000001</v>
      </c>
      <c r="E46" s="462">
        <v>0.28436766971999816</v>
      </c>
      <c r="F46" s="463">
        <v>0.54276785677095363</v>
      </c>
      <c r="G46" s="462">
        <v>104.5583571356</v>
      </c>
      <c r="H46" s="462">
        <v>103.969548</v>
      </c>
      <c r="I46" s="462">
        <v>0.58880913560000181</v>
      </c>
      <c r="J46" s="463">
        <v>0.56313923796295395</v>
      </c>
      <c r="M46" s="525">
        <v>53.938225398479695</v>
      </c>
      <c r="N46" s="525">
        <v>52.979331598999998</v>
      </c>
    </row>
    <row r="47" spans="2:17" ht="24" customHeight="1">
      <c r="B47" s="331" t="s">
        <v>72</v>
      </c>
      <c r="C47" s="462">
        <v>69.329884153533342</v>
      </c>
      <c r="D47" s="462">
        <v>69.050599333333338</v>
      </c>
      <c r="E47" s="462">
        <v>0.27928482020000445</v>
      </c>
      <c r="F47" s="463">
        <v>0.40283468465275218</v>
      </c>
      <c r="G47" s="462">
        <v>131.39498646681335</v>
      </c>
      <c r="H47" s="462">
        <v>130.78422173333334</v>
      </c>
      <c r="I47" s="462">
        <v>0.61076473348001059</v>
      </c>
      <c r="J47" s="463">
        <v>0.46483107910230081</v>
      </c>
      <c r="M47" s="525">
        <v>69.724267756399698</v>
      </c>
      <c r="N47" s="525">
        <v>61.365857998999999</v>
      </c>
    </row>
    <row r="48" spans="2:17" ht="24" customHeight="1">
      <c r="B48" s="331" t="s">
        <v>1752</v>
      </c>
      <c r="C48" s="462">
        <v>131.03033892456003</v>
      </c>
      <c r="D48" s="462">
        <v>130.81958480000003</v>
      </c>
      <c r="E48" s="462">
        <v>0.21075412455999754</v>
      </c>
      <c r="F48" s="463">
        <v>0.16084376052887875</v>
      </c>
      <c r="G48" s="462">
        <v>280.19301590720005</v>
      </c>
      <c r="H48" s="462">
        <v>279.86697600000002</v>
      </c>
      <c r="I48" s="462">
        <v>0.32603990720002685</v>
      </c>
      <c r="J48" s="463">
        <v>0.11636261030432368</v>
      </c>
      <c r="M48" s="525">
        <v>155.05000000000001</v>
      </c>
      <c r="N48" s="525">
        <v>150.88</v>
      </c>
    </row>
    <row r="49" spans="2:14" ht="25.5" customHeight="1" thickBot="1">
      <c r="B49" s="334" t="s">
        <v>1279</v>
      </c>
      <c r="C49" s="468">
        <v>1397.3500296193245</v>
      </c>
      <c r="D49" s="468">
        <v>1395.9456761926838</v>
      </c>
      <c r="E49" s="468">
        <v>1.4043534266406823</v>
      </c>
      <c r="F49" s="469">
        <v>0.10050119131734414</v>
      </c>
      <c r="G49" s="468">
        <v>2818.0424045814671</v>
      </c>
      <c r="H49" s="468">
        <v>2783.6843727637975</v>
      </c>
      <c r="I49" s="468">
        <v>34.358031817669598</v>
      </c>
      <c r="J49" s="469">
        <v>1.2192162815510372</v>
      </c>
      <c r="M49" s="524">
        <v>1225.4271107971726</v>
      </c>
      <c r="N49" s="524">
        <v>1173.7062736070002</v>
      </c>
    </row>
    <row r="50" spans="2:14" ht="24" customHeight="1" thickTop="1" thickBot="1">
      <c r="B50" s="333" t="s">
        <v>73</v>
      </c>
      <c r="C50" s="468">
        <v>109084.82116230862</v>
      </c>
      <c r="D50" s="468">
        <v>108809.17129688199</v>
      </c>
      <c r="E50" s="470">
        <v>275.64986542663246</v>
      </c>
      <c r="F50" s="469">
        <v>0.25269314510447766</v>
      </c>
      <c r="G50" s="484">
        <v>226581.18929495383</v>
      </c>
      <c r="H50" s="484">
        <v>225888.75924976816</v>
      </c>
      <c r="I50" s="470">
        <v>692.43004518566886</v>
      </c>
      <c r="J50" s="469">
        <v>0.3055990867292574</v>
      </c>
      <c r="M50" s="523">
        <v>104013.63699338801</v>
      </c>
      <c r="N50" s="523">
        <v>103393.1092756773</v>
      </c>
    </row>
    <row r="51" spans="2:14" ht="21.75" customHeight="1" thickTop="1">
      <c r="B51" s="1099" t="s">
        <v>1992</v>
      </c>
      <c r="C51" s="1100"/>
      <c r="D51" s="1100"/>
      <c r="E51" s="1100"/>
      <c r="F51" s="1100"/>
      <c r="G51" s="1100"/>
      <c r="H51" s="1100"/>
      <c r="I51" s="1100"/>
      <c r="J51" s="1101"/>
      <c r="M51" s="522"/>
    </row>
    <row r="52" spans="2:14" ht="30.6" customHeight="1">
      <c r="B52" s="1096" t="s">
        <v>1993</v>
      </c>
      <c r="C52" s="1097"/>
      <c r="D52" s="1097"/>
      <c r="E52" s="1097"/>
      <c r="F52" s="1097"/>
      <c r="G52" s="1097"/>
      <c r="H52" s="1097"/>
      <c r="I52" s="1097"/>
      <c r="J52" s="1098"/>
    </row>
    <row r="53" spans="2:14" ht="18" customHeight="1">
      <c r="B53" s="1063" t="s">
        <v>1510</v>
      </c>
      <c r="C53" s="1064"/>
      <c r="D53" s="1064"/>
      <c r="E53" s="1064"/>
      <c r="F53" s="1064"/>
      <c r="G53" s="1064"/>
      <c r="H53" s="1064"/>
      <c r="I53" s="1064"/>
      <c r="J53" s="1065"/>
    </row>
    <row r="54" spans="2:14" ht="18" customHeight="1">
      <c r="K54" s="1504">
        <v>25</v>
      </c>
    </row>
    <row r="55" spans="2:14" ht="18" customHeight="1">
      <c r="D55" s="521" t="s">
        <v>426</v>
      </c>
    </row>
    <row r="58" spans="2:14" ht="18" customHeight="1">
      <c r="D58" s="522"/>
    </row>
    <row r="206" spans="3:3" ht="18" customHeight="1">
      <c r="C206" s="521" t="e">
        <f>+++++++#NAME?</f>
        <v>#NAME?</v>
      </c>
    </row>
    <row r="207" spans="3:3" ht="18" customHeight="1">
      <c r="C207" s="521" t="s">
        <v>94</v>
      </c>
    </row>
    <row r="208" spans="3:3" ht="18" customHeight="1">
      <c r="C208" s="521" t="s">
        <v>94</v>
      </c>
    </row>
    <row r="209" spans="3:3" ht="18" customHeight="1">
      <c r="C209" s="521" t="s">
        <v>94</v>
      </c>
    </row>
    <row r="210" spans="3:3" ht="18" customHeight="1">
      <c r="C210" s="521" t="s">
        <v>94</v>
      </c>
    </row>
    <row r="211" spans="3:3" ht="18" customHeight="1">
      <c r="C211" s="521" t="s">
        <v>94</v>
      </c>
    </row>
    <row r="212" spans="3:3" ht="18" customHeight="1">
      <c r="C212" s="521" t="s">
        <v>94</v>
      </c>
    </row>
    <row r="213" spans="3:3" ht="18" customHeight="1">
      <c r="C213" s="521" t="s">
        <v>94</v>
      </c>
    </row>
    <row r="214" spans="3:3" ht="18" customHeight="1">
      <c r="C214" s="521" t="s">
        <v>94</v>
      </c>
    </row>
    <row r="215" spans="3:3" ht="18" customHeight="1">
      <c r="C215" s="521" t="s">
        <v>94</v>
      </c>
    </row>
    <row r="216" spans="3:3" ht="18" customHeight="1">
      <c r="C216" s="521" t="s">
        <v>94</v>
      </c>
    </row>
    <row r="217" spans="3:3" ht="18" customHeight="1">
      <c r="C217" s="521" t="s">
        <v>94</v>
      </c>
    </row>
    <row r="218" spans="3:3" ht="18" customHeight="1">
      <c r="C218" s="521" t="s">
        <v>94</v>
      </c>
    </row>
    <row r="219" spans="3:3" ht="18" customHeight="1">
      <c r="C219" s="521" t="s">
        <v>94</v>
      </c>
    </row>
    <row r="220" spans="3:3" ht="18" customHeight="1">
      <c r="C220" s="521" t="s">
        <v>94</v>
      </c>
    </row>
    <row r="221" spans="3:3" ht="18" customHeight="1">
      <c r="C221" s="521" t="s">
        <v>94</v>
      </c>
    </row>
    <row r="222" spans="3:3" ht="18" customHeight="1">
      <c r="C222" s="521" t="s">
        <v>94</v>
      </c>
    </row>
    <row r="223" spans="3:3" ht="18" customHeight="1">
      <c r="C223" s="521" t="s">
        <v>94</v>
      </c>
    </row>
    <row r="224" spans="3:3" ht="18" customHeight="1">
      <c r="C224" s="521" t="s">
        <v>94</v>
      </c>
    </row>
    <row r="225" spans="3:3" ht="18" customHeight="1">
      <c r="C225" s="521" t="s">
        <v>94</v>
      </c>
    </row>
    <row r="226" spans="3:3" ht="18" customHeight="1">
      <c r="C226" s="521" t="s">
        <v>94</v>
      </c>
    </row>
    <row r="227" spans="3:3" ht="18" customHeight="1">
      <c r="C227" s="521" t="s">
        <v>94</v>
      </c>
    </row>
    <row r="228" spans="3:3" ht="18" customHeight="1">
      <c r="C228" s="521" t="s">
        <v>94</v>
      </c>
    </row>
    <row r="229" spans="3:3" ht="18" customHeight="1">
      <c r="C229" s="521" t="s">
        <v>94</v>
      </c>
    </row>
    <row r="230" spans="3:3" ht="18" customHeight="1">
      <c r="C230" s="521" t="s">
        <v>94</v>
      </c>
    </row>
    <row r="231" spans="3:3" ht="18" customHeight="1">
      <c r="C231" s="521" t="s">
        <v>94</v>
      </c>
    </row>
    <row r="232" spans="3:3" ht="18" customHeight="1">
      <c r="C232" s="521" t="s">
        <v>94</v>
      </c>
    </row>
    <row r="233" spans="3:3" ht="18" customHeight="1">
      <c r="C233" s="521" t="s">
        <v>94</v>
      </c>
    </row>
    <row r="234" spans="3:3" ht="18" customHeight="1">
      <c r="C234" s="521" t="s">
        <v>94</v>
      </c>
    </row>
    <row r="235" spans="3:3" ht="18" customHeight="1">
      <c r="C235" s="521" t="s">
        <v>94</v>
      </c>
    </row>
    <row r="236" spans="3:3" ht="18" customHeight="1">
      <c r="C236" s="521" t="s">
        <v>94</v>
      </c>
    </row>
    <row r="237" spans="3:3" ht="18" customHeight="1">
      <c r="C237" s="521" t="s">
        <v>94</v>
      </c>
    </row>
    <row r="238" spans="3:3" ht="18" customHeight="1">
      <c r="C238" s="521" t="s">
        <v>94</v>
      </c>
    </row>
    <row r="239" spans="3:3" ht="18" customHeight="1">
      <c r="C239" s="521" t="s">
        <v>94</v>
      </c>
    </row>
    <row r="240" spans="3:3" ht="18" customHeight="1">
      <c r="C240" s="521" t="s">
        <v>94</v>
      </c>
    </row>
    <row r="241" spans="3:3" ht="18" customHeight="1">
      <c r="C241" s="521" t="s">
        <v>94</v>
      </c>
    </row>
    <row r="242" spans="3:3" ht="18" customHeight="1">
      <c r="C242" s="521" t="s">
        <v>94</v>
      </c>
    </row>
    <row r="243" spans="3:3" ht="18" customHeight="1">
      <c r="C243" s="521" t="s">
        <v>94</v>
      </c>
    </row>
    <row r="244" spans="3:3" ht="18" customHeight="1">
      <c r="C244" s="521" t="s">
        <v>94</v>
      </c>
    </row>
    <row r="245" spans="3:3" ht="18" customHeight="1">
      <c r="C245" s="521" t="s">
        <v>94</v>
      </c>
    </row>
    <row r="246" spans="3:3" ht="18" customHeight="1">
      <c r="C246" s="521" t="s">
        <v>94</v>
      </c>
    </row>
    <row r="247" spans="3:3" ht="18" customHeight="1">
      <c r="C247" s="521" t="s">
        <v>94</v>
      </c>
    </row>
    <row r="248" spans="3:3" ht="18" customHeight="1">
      <c r="C248" s="521" t="s">
        <v>94</v>
      </c>
    </row>
    <row r="249" spans="3:3" ht="18" customHeight="1">
      <c r="C249" s="521" t="s">
        <v>94</v>
      </c>
    </row>
    <row r="250" spans="3:3" ht="18" customHeight="1">
      <c r="C250" s="521" t="s">
        <v>94</v>
      </c>
    </row>
    <row r="251" spans="3:3" ht="18" customHeight="1">
      <c r="C251" s="521" t="s">
        <v>94</v>
      </c>
    </row>
    <row r="252" spans="3:3" ht="18" customHeight="1">
      <c r="C252" s="521" t="s">
        <v>94</v>
      </c>
    </row>
    <row r="253" spans="3:3" ht="18" customHeight="1">
      <c r="C253" s="521" t="s">
        <v>94</v>
      </c>
    </row>
    <row r="435" ht="23.25" customHeight="1"/>
  </sheetData>
  <mergeCells count="2">
    <mergeCell ref="M4:P4"/>
    <mergeCell ref="B2:J2"/>
  </mergeCells>
  <conditionalFormatting sqref="I8:I50 E18:E50 E8:E16">
    <cfRule type="containsText" dxfId="15" priority="2" stopIfTrue="1" operator="containsText" text="Error">
      <formula>NOT(ISERROR(SEARCH("Error",E8)))</formula>
    </cfRule>
  </conditionalFormatting>
  <conditionalFormatting sqref="E17">
    <cfRule type="containsText" dxfId="14" priority="1" stopIfTrue="1" operator="containsText" text="Error">
      <formula>NOT(ISERROR(SEARCH("Error",E17)))</formula>
    </cfRule>
  </conditionalFormatting>
  <printOptions horizontalCentered="1" verticalCentered="1"/>
  <pageMargins left="0.75" right="0.75" top="1" bottom="1" header="0.5" footer="0.5"/>
  <pageSetup scale="42"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002060"/>
  </sheetPr>
  <dimension ref="B1:Q433"/>
  <sheetViews>
    <sheetView view="pageBreakPreview" topLeftCell="A46" zoomScale="64" zoomScaleNormal="100" zoomScaleSheetLayoutView="64" zoomScalePageLayoutView="115" workbookViewId="0">
      <selection activeCell="J28" sqref="J28"/>
    </sheetView>
  </sheetViews>
  <sheetFormatPr defaultRowHeight="18" customHeight="1"/>
  <cols>
    <col min="1" max="1" width="9.140625" style="248"/>
    <col min="2" max="2" width="49.28515625" style="248" customWidth="1"/>
    <col min="3" max="3" width="18.5703125" style="248" customWidth="1"/>
    <col min="4" max="4" width="22.85546875" style="248" customWidth="1"/>
    <col min="5" max="5" width="14.28515625" style="248" customWidth="1"/>
    <col min="6" max="6" width="13.140625" style="248" customWidth="1"/>
    <col min="7" max="7" width="19.85546875" style="248" customWidth="1"/>
    <col min="8" max="8" width="22.28515625" style="248" customWidth="1"/>
    <col min="9" max="10" width="15" style="248" customWidth="1"/>
    <col min="11" max="12" width="9.140625" style="248"/>
    <col min="13" max="13" width="14.28515625" style="248" customWidth="1"/>
    <col min="14" max="14" width="13.140625" style="248" customWidth="1"/>
    <col min="15" max="257" width="9.140625" style="248"/>
    <col min="258" max="258" width="49.28515625" style="248" customWidth="1"/>
    <col min="259" max="259" width="18.5703125" style="248" customWidth="1"/>
    <col min="260" max="260" width="22.85546875" style="248" customWidth="1"/>
    <col min="261" max="261" width="14.28515625" style="248" customWidth="1"/>
    <col min="262" max="262" width="13.140625" style="248" customWidth="1"/>
    <col min="263" max="263" width="19.85546875" style="248" customWidth="1"/>
    <col min="264" max="264" width="22.28515625" style="248" customWidth="1"/>
    <col min="265" max="266" width="15" style="248" customWidth="1"/>
    <col min="267" max="268" width="9.140625" style="248"/>
    <col min="269" max="269" width="14.28515625" style="248" customWidth="1"/>
    <col min="270" max="270" width="13.140625" style="248" customWidth="1"/>
    <col min="271" max="513" width="9.140625" style="248"/>
    <col min="514" max="514" width="49.28515625" style="248" customWidth="1"/>
    <col min="515" max="515" width="18.5703125" style="248" customWidth="1"/>
    <col min="516" max="516" width="22.85546875" style="248" customWidth="1"/>
    <col min="517" max="517" width="14.28515625" style="248" customWidth="1"/>
    <col min="518" max="518" width="13.140625" style="248" customWidth="1"/>
    <col min="519" max="519" width="19.85546875" style="248" customWidth="1"/>
    <col min="520" max="520" width="22.28515625" style="248" customWidth="1"/>
    <col min="521" max="522" width="15" style="248" customWidth="1"/>
    <col min="523" max="524" width="9.140625" style="248"/>
    <col min="525" max="525" width="14.28515625" style="248" customWidth="1"/>
    <col min="526" max="526" width="13.140625" style="248" customWidth="1"/>
    <col min="527" max="769" width="9.140625" style="248"/>
    <col min="770" max="770" width="49.28515625" style="248" customWidth="1"/>
    <col min="771" max="771" width="18.5703125" style="248" customWidth="1"/>
    <col min="772" max="772" width="22.85546875" style="248" customWidth="1"/>
    <col min="773" max="773" width="14.28515625" style="248" customWidth="1"/>
    <col min="774" max="774" width="13.140625" style="248" customWidth="1"/>
    <col min="775" max="775" width="19.85546875" style="248" customWidth="1"/>
    <col min="776" max="776" width="22.28515625" style="248" customWidth="1"/>
    <col min="777" max="778" width="15" style="248" customWidth="1"/>
    <col min="779" max="780" width="9.140625" style="248"/>
    <col min="781" max="781" width="14.28515625" style="248" customWidth="1"/>
    <col min="782" max="782" width="13.140625" style="248" customWidth="1"/>
    <col min="783" max="1025" width="9.140625" style="248"/>
    <col min="1026" max="1026" width="49.28515625" style="248" customWidth="1"/>
    <col min="1027" max="1027" width="18.5703125" style="248" customWidth="1"/>
    <col min="1028" max="1028" width="22.85546875" style="248" customWidth="1"/>
    <col min="1029" max="1029" width="14.28515625" style="248" customWidth="1"/>
    <col min="1030" max="1030" width="13.140625" style="248" customWidth="1"/>
    <col min="1031" max="1031" width="19.85546875" style="248" customWidth="1"/>
    <col min="1032" max="1032" width="22.28515625" style="248" customWidth="1"/>
    <col min="1033" max="1034" width="15" style="248" customWidth="1"/>
    <col min="1035" max="1036" width="9.140625" style="248"/>
    <col min="1037" max="1037" width="14.28515625" style="248" customWidth="1"/>
    <col min="1038" max="1038" width="13.140625" style="248" customWidth="1"/>
    <col min="1039" max="1281" width="9.140625" style="248"/>
    <col min="1282" max="1282" width="49.28515625" style="248" customWidth="1"/>
    <col min="1283" max="1283" width="18.5703125" style="248" customWidth="1"/>
    <col min="1284" max="1284" width="22.85546875" style="248" customWidth="1"/>
    <col min="1285" max="1285" width="14.28515625" style="248" customWidth="1"/>
    <col min="1286" max="1286" width="13.140625" style="248" customWidth="1"/>
    <col min="1287" max="1287" width="19.85546875" style="248" customWidth="1"/>
    <col min="1288" max="1288" width="22.28515625" style="248" customWidth="1"/>
    <col min="1289" max="1290" width="15" style="248" customWidth="1"/>
    <col min="1291" max="1292" width="9.140625" style="248"/>
    <col min="1293" max="1293" width="14.28515625" style="248" customWidth="1"/>
    <col min="1294" max="1294" width="13.140625" style="248" customWidth="1"/>
    <col min="1295" max="1537" width="9.140625" style="248"/>
    <col min="1538" max="1538" width="49.28515625" style="248" customWidth="1"/>
    <col min="1539" max="1539" width="18.5703125" style="248" customWidth="1"/>
    <col min="1540" max="1540" width="22.85546875" style="248" customWidth="1"/>
    <col min="1541" max="1541" width="14.28515625" style="248" customWidth="1"/>
    <col min="1542" max="1542" width="13.140625" style="248" customWidth="1"/>
    <col min="1543" max="1543" width="19.85546875" style="248" customWidth="1"/>
    <col min="1544" max="1544" width="22.28515625" style="248" customWidth="1"/>
    <col min="1545" max="1546" width="15" style="248" customWidth="1"/>
    <col min="1547" max="1548" width="9.140625" style="248"/>
    <col min="1549" max="1549" width="14.28515625" style="248" customWidth="1"/>
    <col min="1550" max="1550" width="13.140625" style="248" customWidth="1"/>
    <col min="1551" max="1793" width="9.140625" style="248"/>
    <col min="1794" max="1794" width="49.28515625" style="248" customWidth="1"/>
    <col min="1795" max="1795" width="18.5703125" style="248" customWidth="1"/>
    <col min="1796" max="1796" width="22.85546875" style="248" customWidth="1"/>
    <col min="1797" max="1797" width="14.28515625" style="248" customWidth="1"/>
    <col min="1798" max="1798" width="13.140625" style="248" customWidth="1"/>
    <col min="1799" max="1799" width="19.85546875" style="248" customWidth="1"/>
    <col min="1800" max="1800" width="22.28515625" style="248" customWidth="1"/>
    <col min="1801" max="1802" width="15" style="248" customWidth="1"/>
    <col min="1803" max="1804" width="9.140625" style="248"/>
    <col min="1805" max="1805" width="14.28515625" style="248" customWidth="1"/>
    <col min="1806" max="1806" width="13.140625" style="248" customWidth="1"/>
    <col min="1807" max="2049" width="9.140625" style="248"/>
    <col min="2050" max="2050" width="49.28515625" style="248" customWidth="1"/>
    <col min="2051" max="2051" width="18.5703125" style="248" customWidth="1"/>
    <col min="2052" max="2052" width="22.85546875" style="248" customWidth="1"/>
    <col min="2053" max="2053" width="14.28515625" style="248" customWidth="1"/>
    <col min="2054" max="2054" width="13.140625" style="248" customWidth="1"/>
    <col min="2055" max="2055" width="19.85546875" style="248" customWidth="1"/>
    <col min="2056" max="2056" width="22.28515625" style="248" customWidth="1"/>
    <col min="2057" max="2058" width="15" style="248" customWidth="1"/>
    <col min="2059" max="2060" width="9.140625" style="248"/>
    <col min="2061" max="2061" width="14.28515625" style="248" customWidth="1"/>
    <col min="2062" max="2062" width="13.140625" style="248" customWidth="1"/>
    <col min="2063" max="2305" width="9.140625" style="248"/>
    <col min="2306" max="2306" width="49.28515625" style="248" customWidth="1"/>
    <col min="2307" max="2307" width="18.5703125" style="248" customWidth="1"/>
    <col min="2308" max="2308" width="22.85546875" style="248" customWidth="1"/>
    <col min="2309" max="2309" width="14.28515625" style="248" customWidth="1"/>
    <col min="2310" max="2310" width="13.140625" style="248" customWidth="1"/>
    <col min="2311" max="2311" width="19.85546875" style="248" customWidth="1"/>
    <col min="2312" max="2312" width="22.28515625" style="248" customWidth="1"/>
    <col min="2313" max="2314" width="15" style="248" customWidth="1"/>
    <col min="2315" max="2316" width="9.140625" style="248"/>
    <col min="2317" max="2317" width="14.28515625" style="248" customWidth="1"/>
    <col min="2318" max="2318" width="13.140625" style="248" customWidth="1"/>
    <col min="2319" max="2561" width="9.140625" style="248"/>
    <col min="2562" max="2562" width="49.28515625" style="248" customWidth="1"/>
    <col min="2563" max="2563" width="18.5703125" style="248" customWidth="1"/>
    <col min="2564" max="2564" width="22.85546875" style="248" customWidth="1"/>
    <col min="2565" max="2565" width="14.28515625" style="248" customWidth="1"/>
    <col min="2566" max="2566" width="13.140625" style="248" customWidth="1"/>
    <col min="2567" max="2567" width="19.85546875" style="248" customWidth="1"/>
    <col min="2568" max="2568" width="22.28515625" style="248" customWidth="1"/>
    <col min="2569" max="2570" width="15" style="248" customWidth="1"/>
    <col min="2571" max="2572" width="9.140625" style="248"/>
    <col min="2573" max="2573" width="14.28515625" style="248" customWidth="1"/>
    <col min="2574" max="2574" width="13.140625" style="248" customWidth="1"/>
    <col min="2575" max="2817" width="9.140625" style="248"/>
    <col min="2818" max="2818" width="49.28515625" style="248" customWidth="1"/>
    <col min="2819" max="2819" width="18.5703125" style="248" customWidth="1"/>
    <col min="2820" max="2820" width="22.85546875" style="248" customWidth="1"/>
    <col min="2821" max="2821" width="14.28515625" style="248" customWidth="1"/>
    <col min="2822" max="2822" width="13.140625" style="248" customWidth="1"/>
    <col min="2823" max="2823" width="19.85546875" style="248" customWidth="1"/>
    <col min="2824" max="2824" width="22.28515625" style="248" customWidth="1"/>
    <col min="2825" max="2826" width="15" style="248" customWidth="1"/>
    <col min="2827" max="2828" width="9.140625" style="248"/>
    <col min="2829" max="2829" width="14.28515625" style="248" customWidth="1"/>
    <col min="2830" max="2830" width="13.140625" style="248" customWidth="1"/>
    <col min="2831" max="3073" width="9.140625" style="248"/>
    <col min="3074" max="3074" width="49.28515625" style="248" customWidth="1"/>
    <col min="3075" max="3075" width="18.5703125" style="248" customWidth="1"/>
    <col min="3076" max="3076" width="22.85546875" style="248" customWidth="1"/>
    <col min="3077" max="3077" width="14.28515625" style="248" customWidth="1"/>
    <col min="3078" max="3078" width="13.140625" style="248" customWidth="1"/>
    <col min="3079" max="3079" width="19.85546875" style="248" customWidth="1"/>
    <col min="3080" max="3080" width="22.28515625" style="248" customWidth="1"/>
    <col min="3081" max="3082" width="15" style="248" customWidth="1"/>
    <col min="3083" max="3084" width="9.140625" style="248"/>
    <col min="3085" max="3085" width="14.28515625" style="248" customWidth="1"/>
    <col min="3086" max="3086" width="13.140625" style="248" customWidth="1"/>
    <col min="3087" max="3329" width="9.140625" style="248"/>
    <col min="3330" max="3330" width="49.28515625" style="248" customWidth="1"/>
    <col min="3331" max="3331" width="18.5703125" style="248" customWidth="1"/>
    <col min="3332" max="3332" width="22.85546875" style="248" customWidth="1"/>
    <col min="3333" max="3333" width="14.28515625" style="248" customWidth="1"/>
    <col min="3334" max="3334" width="13.140625" style="248" customWidth="1"/>
    <col min="3335" max="3335" width="19.85546875" style="248" customWidth="1"/>
    <col min="3336" max="3336" width="22.28515625" style="248" customWidth="1"/>
    <col min="3337" max="3338" width="15" style="248" customWidth="1"/>
    <col min="3339" max="3340" width="9.140625" style="248"/>
    <col min="3341" max="3341" width="14.28515625" style="248" customWidth="1"/>
    <col min="3342" max="3342" width="13.140625" style="248" customWidth="1"/>
    <col min="3343" max="3585" width="9.140625" style="248"/>
    <col min="3586" max="3586" width="49.28515625" style="248" customWidth="1"/>
    <col min="3587" max="3587" width="18.5703125" style="248" customWidth="1"/>
    <col min="3588" max="3588" width="22.85546875" style="248" customWidth="1"/>
    <col min="3589" max="3589" width="14.28515625" style="248" customWidth="1"/>
    <col min="3590" max="3590" width="13.140625" style="248" customWidth="1"/>
    <col min="3591" max="3591" width="19.85546875" style="248" customWidth="1"/>
    <col min="3592" max="3592" width="22.28515625" style="248" customWidth="1"/>
    <col min="3593" max="3594" width="15" style="248" customWidth="1"/>
    <col min="3595" max="3596" width="9.140625" style="248"/>
    <col min="3597" max="3597" width="14.28515625" style="248" customWidth="1"/>
    <col min="3598" max="3598" width="13.140625" style="248" customWidth="1"/>
    <col min="3599" max="3841" width="9.140625" style="248"/>
    <col min="3842" max="3842" width="49.28515625" style="248" customWidth="1"/>
    <col min="3843" max="3843" width="18.5703125" style="248" customWidth="1"/>
    <col min="3844" max="3844" width="22.85546875" style="248" customWidth="1"/>
    <col min="3845" max="3845" width="14.28515625" style="248" customWidth="1"/>
    <col min="3846" max="3846" width="13.140625" style="248" customWidth="1"/>
    <col min="3847" max="3847" width="19.85546875" style="248" customWidth="1"/>
    <col min="3848" max="3848" width="22.28515625" style="248" customWidth="1"/>
    <col min="3849" max="3850" width="15" style="248" customWidth="1"/>
    <col min="3851" max="3852" width="9.140625" style="248"/>
    <col min="3853" max="3853" width="14.28515625" style="248" customWidth="1"/>
    <col min="3854" max="3854" width="13.140625" style="248" customWidth="1"/>
    <col min="3855" max="4097" width="9.140625" style="248"/>
    <col min="4098" max="4098" width="49.28515625" style="248" customWidth="1"/>
    <col min="4099" max="4099" width="18.5703125" style="248" customWidth="1"/>
    <col min="4100" max="4100" width="22.85546875" style="248" customWidth="1"/>
    <col min="4101" max="4101" width="14.28515625" style="248" customWidth="1"/>
    <col min="4102" max="4102" width="13.140625" style="248" customWidth="1"/>
    <col min="4103" max="4103" width="19.85546875" style="248" customWidth="1"/>
    <col min="4104" max="4104" width="22.28515625" style="248" customWidth="1"/>
    <col min="4105" max="4106" width="15" style="248" customWidth="1"/>
    <col min="4107" max="4108" width="9.140625" style="248"/>
    <col min="4109" max="4109" width="14.28515625" style="248" customWidth="1"/>
    <col min="4110" max="4110" width="13.140625" style="248" customWidth="1"/>
    <col min="4111" max="4353" width="9.140625" style="248"/>
    <col min="4354" max="4354" width="49.28515625" style="248" customWidth="1"/>
    <col min="4355" max="4355" width="18.5703125" style="248" customWidth="1"/>
    <col min="4356" max="4356" width="22.85546875" style="248" customWidth="1"/>
    <col min="4357" max="4357" width="14.28515625" style="248" customWidth="1"/>
    <col min="4358" max="4358" width="13.140625" style="248" customWidth="1"/>
    <col min="4359" max="4359" width="19.85546875" style="248" customWidth="1"/>
    <col min="4360" max="4360" width="22.28515625" style="248" customWidth="1"/>
    <col min="4361" max="4362" width="15" style="248" customWidth="1"/>
    <col min="4363" max="4364" width="9.140625" style="248"/>
    <col min="4365" max="4365" width="14.28515625" style="248" customWidth="1"/>
    <col min="4366" max="4366" width="13.140625" style="248" customWidth="1"/>
    <col min="4367" max="4609" width="9.140625" style="248"/>
    <col min="4610" max="4610" width="49.28515625" style="248" customWidth="1"/>
    <col min="4611" max="4611" width="18.5703125" style="248" customWidth="1"/>
    <col min="4612" max="4612" width="22.85546875" style="248" customWidth="1"/>
    <col min="4613" max="4613" width="14.28515625" style="248" customWidth="1"/>
    <col min="4614" max="4614" width="13.140625" style="248" customWidth="1"/>
    <col min="4615" max="4615" width="19.85546875" style="248" customWidth="1"/>
    <col min="4616" max="4616" width="22.28515625" style="248" customWidth="1"/>
    <col min="4617" max="4618" width="15" style="248" customWidth="1"/>
    <col min="4619" max="4620" width="9.140625" style="248"/>
    <col min="4621" max="4621" width="14.28515625" style="248" customWidth="1"/>
    <col min="4622" max="4622" width="13.140625" style="248" customWidth="1"/>
    <col min="4623" max="4865" width="9.140625" style="248"/>
    <col min="4866" max="4866" width="49.28515625" style="248" customWidth="1"/>
    <col min="4867" max="4867" width="18.5703125" style="248" customWidth="1"/>
    <col min="4868" max="4868" width="22.85546875" style="248" customWidth="1"/>
    <col min="4869" max="4869" width="14.28515625" style="248" customWidth="1"/>
    <col min="4870" max="4870" width="13.140625" style="248" customWidth="1"/>
    <col min="4871" max="4871" width="19.85546875" style="248" customWidth="1"/>
    <col min="4872" max="4872" width="22.28515625" style="248" customWidth="1"/>
    <col min="4873" max="4874" width="15" style="248" customWidth="1"/>
    <col min="4875" max="4876" width="9.140625" style="248"/>
    <col min="4877" max="4877" width="14.28515625" style="248" customWidth="1"/>
    <col min="4878" max="4878" width="13.140625" style="248" customWidth="1"/>
    <col min="4879" max="5121" width="9.140625" style="248"/>
    <col min="5122" max="5122" width="49.28515625" style="248" customWidth="1"/>
    <col min="5123" max="5123" width="18.5703125" style="248" customWidth="1"/>
    <col min="5124" max="5124" width="22.85546875" style="248" customWidth="1"/>
    <col min="5125" max="5125" width="14.28515625" style="248" customWidth="1"/>
    <col min="5126" max="5126" width="13.140625" style="248" customWidth="1"/>
    <col min="5127" max="5127" width="19.85546875" style="248" customWidth="1"/>
    <col min="5128" max="5128" width="22.28515625" style="248" customWidth="1"/>
    <col min="5129" max="5130" width="15" style="248" customWidth="1"/>
    <col min="5131" max="5132" width="9.140625" style="248"/>
    <col min="5133" max="5133" width="14.28515625" style="248" customWidth="1"/>
    <col min="5134" max="5134" width="13.140625" style="248" customWidth="1"/>
    <col min="5135" max="5377" width="9.140625" style="248"/>
    <col min="5378" max="5378" width="49.28515625" style="248" customWidth="1"/>
    <col min="5379" max="5379" width="18.5703125" style="248" customWidth="1"/>
    <col min="5380" max="5380" width="22.85546875" style="248" customWidth="1"/>
    <col min="5381" max="5381" width="14.28515625" style="248" customWidth="1"/>
    <col min="5382" max="5382" width="13.140625" style="248" customWidth="1"/>
    <col min="5383" max="5383" width="19.85546875" style="248" customWidth="1"/>
    <col min="5384" max="5384" width="22.28515625" style="248" customWidth="1"/>
    <col min="5385" max="5386" width="15" style="248" customWidth="1"/>
    <col min="5387" max="5388" width="9.140625" style="248"/>
    <col min="5389" max="5389" width="14.28515625" style="248" customWidth="1"/>
    <col min="5390" max="5390" width="13.140625" style="248" customWidth="1"/>
    <col min="5391" max="5633" width="9.140625" style="248"/>
    <col min="5634" max="5634" width="49.28515625" style="248" customWidth="1"/>
    <col min="5635" max="5635" width="18.5703125" style="248" customWidth="1"/>
    <col min="5636" max="5636" width="22.85546875" style="248" customWidth="1"/>
    <col min="5637" max="5637" width="14.28515625" style="248" customWidth="1"/>
    <col min="5638" max="5638" width="13.140625" style="248" customWidth="1"/>
    <col min="5639" max="5639" width="19.85546875" style="248" customWidth="1"/>
    <col min="5640" max="5640" width="22.28515625" style="248" customWidth="1"/>
    <col min="5641" max="5642" width="15" style="248" customWidth="1"/>
    <col min="5643" max="5644" width="9.140625" style="248"/>
    <col min="5645" max="5645" width="14.28515625" style="248" customWidth="1"/>
    <col min="5646" max="5646" width="13.140625" style="248" customWidth="1"/>
    <col min="5647" max="5889" width="9.140625" style="248"/>
    <col min="5890" max="5890" width="49.28515625" style="248" customWidth="1"/>
    <col min="5891" max="5891" width="18.5703125" style="248" customWidth="1"/>
    <col min="5892" max="5892" width="22.85546875" style="248" customWidth="1"/>
    <col min="5893" max="5893" width="14.28515625" style="248" customWidth="1"/>
    <col min="5894" max="5894" width="13.140625" style="248" customWidth="1"/>
    <col min="5895" max="5895" width="19.85546875" style="248" customWidth="1"/>
    <col min="5896" max="5896" width="22.28515625" style="248" customWidth="1"/>
    <col min="5897" max="5898" width="15" style="248" customWidth="1"/>
    <col min="5899" max="5900" width="9.140625" style="248"/>
    <col min="5901" max="5901" width="14.28515625" style="248" customWidth="1"/>
    <col min="5902" max="5902" width="13.140625" style="248" customWidth="1"/>
    <col min="5903" max="6145" width="9.140625" style="248"/>
    <col min="6146" max="6146" width="49.28515625" style="248" customWidth="1"/>
    <col min="6147" max="6147" width="18.5703125" style="248" customWidth="1"/>
    <col min="6148" max="6148" width="22.85546875" style="248" customWidth="1"/>
    <col min="6149" max="6149" width="14.28515625" style="248" customWidth="1"/>
    <col min="6150" max="6150" width="13.140625" style="248" customWidth="1"/>
    <col min="6151" max="6151" width="19.85546875" style="248" customWidth="1"/>
    <col min="6152" max="6152" width="22.28515625" style="248" customWidth="1"/>
    <col min="6153" max="6154" width="15" style="248" customWidth="1"/>
    <col min="6155" max="6156" width="9.140625" style="248"/>
    <col min="6157" max="6157" width="14.28515625" style="248" customWidth="1"/>
    <col min="6158" max="6158" width="13.140625" style="248" customWidth="1"/>
    <col min="6159" max="6401" width="9.140625" style="248"/>
    <col min="6402" max="6402" width="49.28515625" style="248" customWidth="1"/>
    <col min="6403" max="6403" width="18.5703125" style="248" customWidth="1"/>
    <col min="6404" max="6404" width="22.85546875" style="248" customWidth="1"/>
    <col min="6405" max="6405" width="14.28515625" style="248" customWidth="1"/>
    <col min="6406" max="6406" width="13.140625" style="248" customWidth="1"/>
    <col min="6407" max="6407" width="19.85546875" style="248" customWidth="1"/>
    <col min="6408" max="6408" width="22.28515625" style="248" customWidth="1"/>
    <col min="6409" max="6410" width="15" style="248" customWidth="1"/>
    <col min="6411" max="6412" width="9.140625" style="248"/>
    <col min="6413" max="6413" width="14.28515625" style="248" customWidth="1"/>
    <col min="6414" max="6414" width="13.140625" style="248" customWidth="1"/>
    <col min="6415" max="6657" width="9.140625" style="248"/>
    <col min="6658" max="6658" width="49.28515625" style="248" customWidth="1"/>
    <col min="6659" max="6659" width="18.5703125" style="248" customWidth="1"/>
    <col min="6660" max="6660" width="22.85546875" style="248" customWidth="1"/>
    <col min="6661" max="6661" width="14.28515625" style="248" customWidth="1"/>
    <col min="6662" max="6662" width="13.140625" style="248" customWidth="1"/>
    <col min="6663" max="6663" width="19.85546875" style="248" customWidth="1"/>
    <col min="6664" max="6664" width="22.28515625" style="248" customWidth="1"/>
    <col min="6665" max="6666" width="15" style="248" customWidth="1"/>
    <col min="6667" max="6668" width="9.140625" style="248"/>
    <col min="6669" max="6669" width="14.28515625" style="248" customWidth="1"/>
    <col min="6670" max="6670" width="13.140625" style="248" customWidth="1"/>
    <col min="6671" max="6913" width="9.140625" style="248"/>
    <col min="6914" max="6914" width="49.28515625" style="248" customWidth="1"/>
    <col min="6915" max="6915" width="18.5703125" style="248" customWidth="1"/>
    <col min="6916" max="6916" width="22.85546875" style="248" customWidth="1"/>
    <col min="6917" max="6917" width="14.28515625" style="248" customWidth="1"/>
    <col min="6918" max="6918" width="13.140625" style="248" customWidth="1"/>
    <col min="6919" max="6919" width="19.85546875" style="248" customWidth="1"/>
    <col min="6920" max="6920" width="22.28515625" style="248" customWidth="1"/>
    <col min="6921" max="6922" width="15" style="248" customWidth="1"/>
    <col min="6923" max="6924" width="9.140625" style="248"/>
    <col min="6925" max="6925" width="14.28515625" style="248" customWidth="1"/>
    <col min="6926" max="6926" width="13.140625" style="248" customWidth="1"/>
    <col min="6927" max="7169" width="9.140625" style="248"/>
    <col min="7170" max="7170" width="49.28515625" style="248" customWidth="1"/>
    <col min="7171" max="7171" width="18.5703125" style="248" customWidth="1"/>
    <col min="7172" max="7172" width="22.85546875" style="248" customWidth="1"/>
    <col min="7173" max="7173" width="14.28515625" style="248" customWidth="1"/>
    <col min="7174" max="7174" width="13.140625" style="248" customWidth="1"/>
    <col min="7175" max="7175" width="19.85546875" style="248" customWidth="1"/>
    <col min="7176" max="7176" width="22.28515625" style="248" customWidth="1"/>
    <col min="7177" max="7178" width="15" style="248" customWidth="1"/>
    <col min="7179" max="7180" width="9.140625" style="248"/>
    <col min="7181" max="7181" width="14.28515625" style="248" customWidth="1"/>
    <col min="7182" max="7182" width="13.140625" style="248" customWidth="1"/>
    <col min="7183" max="7425" width="9.140625" style="248"/>
    <col min="7426" max="7426" width="49.28515625" style="248" customWidth="1"/>
    <col min="7427" max="7427" width="18.5703125" style="248" customWidth="1"/>
    <col min="7428" max="7428" width="22.85546875" style="248" customWidth="1"/>
    <col min="7429" max="7429" width="14.28515625" style="248" customWidth="1"/>
    <col min="7430" max="7430" width="13.140625" style="248" customWidth="1"/>
    <col min="7431" max="7431" width="19.85546875" style="248" customWidth="1"/>
    <col min="7432" max="7432" width="22.28515625" style="248" customWidth="1"/>
    <col min="7433" max="7434" width="15" style="248" customWidth="1"/>
    <col min="7435" max="7436" width="9.140625" style="248"/>
    <col min="7437" max="7437" width="14.28515625" style="248" customWidth="1"/>
    <col min="7438" max="7438" width="13.140625" style="248" customWidth="1"/>
    <col min="7439" max="7681" width="9.140625" style="248"/>
    <col min="7682" max="7682" width="49.28515625" style="248" customWidth="1"/>
    <col min="7683" max="7683" width="18.5703125" style="248" customWidth="1"/>
    <col min="7684" max="7684" width="22.85546875" style="248" customWidth="1"/>
    <col min="7685" max="7685" width="14.28515625" style="248" customWidth="1"/>
    <col min="7686" max="7686" width="13.140625" style="248" customWidth="1"/>
    <col min="7687" max="7687" width="19.85546875" style="248" customWidth="1"/>
    <col min="7688" max="7688" width="22.28515625" style="248" customWidth="1"/>
    <col min="7689" max="7690" width="15" style="248" customWidth="1"/>
    <col min="7691" max="7692" width="9.140625" style="248"/>
    <col min="7693" max="7693" width="14.28515625" style="248" customWidth="1"/>
    <col min="7694" max="7694" width="13.140625" style="248" customWidth="1"/>
    <col min="7695" max="7937" width="9.140625" style="248"/>
    <col min="7938" max="7938" width="49.28515625" style="248" customWidth="1"/>
    <col min="7939" max="7939" width="18.5703125" style="248" customWidth="1"/>
    <col min="7940" max="7940" width="22.85546875" style="248" customWidth="1"/>
    <col min="7941" max="7941" width="14.28515625" style="248" customWidth="1"/>
    <col min="7942" max="7942" width="13.140625" style="248" customWidth="1"/>
    <col min="7943" max="7943" width="19.85546875" style="248" customWidth="1"/>
    <col min="7944" max="7944" width="22.28515625" style="248" customWidth="1"/>
    <col min="7945" max="7946" width="15" style="248" customWidth="1"/>
    <col min="7947" max="7948" width="9.140625" style="248"/>
    <col min="7949" max="7949" width="14.28515625" style="248" customWidth="1"/>
    <col min="7950" max="7950" width="13.140625" style="248" customWidth="1"/>
    <col min="7951" max="8193" width="9.140625" style="248"/>
    <col min="8194" max="8194" width="49.28515625" style="248" customWidth="1"/>
    <col min="8195" max="8195" width="18.5703125" style="248" customWidth="1"/>
    <col min="8196" max="8196" width="22.85546875" style="248" customWidth="1"/>
    <col min="8197" max="8197" width="14.28515625" style="248" customWidth="1"/>
    <col min="8198" max="8198" width="13.140625" style="248" customWidth="1"/>
    <col min="8199" max="8199" width="19.85546875" style="248" customWidth="1"/>
    <col min="8200" max="8200" width="22.28515625" style="248" customWidth="1"/>
    <col min="8201" max="8202" width="15" style="248" customWidth="1"/>
    <col min="8203" max="8204" width="9.140625" style="248"/>
    <col min="8205" max="8205" width="14.28515625" style="248" customWidth="1"/>
    <col min="8206" max="8206" width="13.140625" style="248" customWidth="1"/>
    <col min="8207" max="8449" width="9.140625" style="248"/>
    <col min="8450" max="8450" width="49.28515625" style="248" customWidth="1"/>
    <col min="8451" max="8451" width="18.5703125" style="248" customWidth="1"/>
    <col min="8452" max="8452" width="22.85546875" style="248" customWidth="1"/>
    <col min="8453" max="8453" width="14.28515625" style="248" customWidth="1"/>
    <col min="8454" max="8454" width="13.140625" style="248" customWidth="1"/>
    <col min="8455" max="8455" width="19.85546875" style="248" customWidth="1"/>
    <col min="8456" max="8456" width="22.28515625" style="248" customWidth="1"/>
    <col min="8457" max="8458" width="15" style="248" customWidth="1"/>
    <col min="8459" max="8460" width="9.140625" style="248"/>
    <col min="8461" max="8461" width="14.28515625" style="248" customWidth="1"/>
    <col min="8462" max="8462" width="13.140625" style="248" customWidth="1"/>
    <col min="8463" max="8705" width="9.140625" style="248"/>
    <col min="8706" max="8706" width="49.28515625" style="248" customWidth="1"/>
    <col min="8707" max="8707" width="18.5703125" style="248" customWidth="1"/>
    <col min="8708" max="8708" width="22.85546875" style="248" customWidth="1"/>
    <col min="8709" max="8709" width="14.28515625" style="248" customWidth="1"/>
    <col min="8710" max="8710" width="13.140625" style="248" customWidth="1"/>
    <col min="8711" max="8711" width="19.85546875" style="248" customWidth="1"/>
    <col min="8712" max="8712" width="22.28515625" style="248" customWidth="1"/>
    <col min="8713" max="8714" width="15" style="248" customWidth="1"/>
    <col min="8715" max="8716" width="9.140625" style="248"/>
    <col min="8717" max="8717" width="14.28515625" style="248" customWidth="1"/>
    <col min="8718" max="8718" width="13.140625" style="248" customWidth="1"/>
    <col min="8719" max="8961" width="9.140625" style="248"/>
    <col min="8962" max="8962" width="49.28515625" style="248" customWidth="1"/>
    <col min="8963" max="8963" width="18.5703125" style="248" customWidth="1"/>
    <col min="8964" max="8964" width="22.85546875" style="248" customWidth="1"/>
    <col min="8965" max="8965" width="14.28515625" style="248" customWidth="1"/>
    <col min="8966" max="8966" width="13.140625" style="248" customWidth="1"/>
    <col min="8967" max="8967" width="19.85546875" style="248" customWidth="1"/>
    <col min="8968" max="8968" width="22.28515625" style="248" customWidth="1"/>
    <col min="8969" max="8970" width="15" style="248" customWidth="1"/>
    <col min="8971" max="8972" width="9.140625" style="248"/>
    <col min="8973" max="8973" width="14.28515625" style="248" customWidth="1"/>
    <col min="8974" max="8974" width="13.140625" style="248" customWidth="1"/>
    <col min="8975" max="9217" width="9.140625" style="248"/>
    <col min="9218" max="9218" width="49.28515625" style="248" customWidth="1"/>
    <col min="9219" max="9219" width="18.5703125" style="248" customWidth="1"/>
    <col min="9220" max="9220" width="22.85546875" style="248" customWidth="1"/>
    <col min="9221" max="9221" width="14.28515625" style="248" customWidth="1"/>
    <col min="9222" max="9222" width="13.140625" style="248" customWidth="1"/>
    <col min="9223" max="9223" width="19.85546875" style="248" customWidth="1"/>
    <col min="9224" max="9224" width="22.28515625" style="248" customWidth="1"/>
    <col min="9225" max="9226" width="15" style="248" customWidth="1"/>
    <col min="9227" max="9228" width="9.140625" style="248"/>
    <col min="9229" max="9229" width="14.28515625" style="248" customWidth="1"/>
    <col min="9230" max="9230" width="13.140625" style="248" customWidth="1"/>
    <col min="9231" max="9473" width="9.140625" style="248"/>
    <col min="9474" max="9474" width="49.28515625" style="248" customWidth="1"/>
    <col min="9475" max="9475" width="18.5703125" style="248" customWidth="1"/>
    <col min="9476" max="9476" width="22.85546875" style="248" customWidth="1"/>
    <col min="9477" max="9477" width="14.28515625" style="248" customWidth="1"/>
    <col min="9478" max="9478" width="13.140625" style="248" customWidth="1"/>
    <col min="9479" max="9479" width="19.85546875" style="248" customWidth="1"/>
    <col min="9480" max="9480" width="22.28515625" style="248" customWidth="1"/>
    <col min="9481" max="9482" width="15" style="248" customWidth="1"/>
    <col min="9483" max="9484" width="9.140625" style="248"/>
    <col min="9485" max="9485" width="14.28515625" style="248" customWidth="1"/>
    <col min="9486" max="9486" width="13.140625" style="248" customWidth="1"/>
    <col min="9487" max="9729" width="9.140625" style="248"/>
    <col min="9730" max="9730" width="49.28515625" style="248" customWidth="1"/>
    <col min="9731" max="9731" width="18.5703125" style="248" customWidth="1"/>
    <col min="9732" max="9732" width="22.85546875" style="248" customWidth="1"/>
    <col min="9733" max="9733" width="14.28515625" style="248" customWidth="1"/>
    <col min="9734" max="9734" width="13.140625" style="248" customWidth="1"/>
    <col min="9735" max="9735" width="19.85546875" style="248" customWidth="1"/>
    <col min="9736" max="9736" width="22.28515625" style="248" customWidth="1"/>
    <col min="9737" max="9738" width="15" style="248" customWidth="1"/>
    <col min="9739" max="9740" width="9.140625" style="248"/>
    <col min="9741" max="9741" width="14.28515625" style="248" customWidth="1"/>
    <col min="9742" max="9742" width="13.140625" style="248" customWidth="1"/>
    <col min="9743" max="9985" width="9.140625" style="248"/>
    <col min="9986" max="9986" width="49.28515625" style="248" customWidth="1"/>
    <col min="9987" max="9987" width="18.5703125" style="248" customWidth="1"/>
    <col min="9988" max="9988" width="22.85546875" style="248" customWidth="1"/>
    <col min="9989" max="9989" width="14.28515625" style="248" customWidth="1"/>
    <col min="9990" max="9990" width="13.140625" style="248" customWidth="1"/>
    <col min="9991" max="9991" width="19.85546875" style="248" customWidth="1"/>
    <col min="9992" max="9992" width="22.28515625" style="248" customWidth="1"/>
    <col min="9993" max="9994" width="15" style="248" customWidth="1"/>
    <col min="9995" max="9996" width="9.140625" style="248"/>
    <col min="9997" max="9997" width="14.28515625" style="248" customWidth="1"/>
    <col min="9998" max="9998" width="13.140625" style="248" customWidth="1"/>
    <col min="9999" max="10241" width="9.140625" style="248"/>
    <col min="10242" max="10242" width="49.28515625" style="248" customWidth="1"/>
    <col min="10243" max="10243" width="18.5703125" style="248" customWidth="1"/>
    <col min="10244" max="10244" width="22.85546875" style="248" customWidth="1"/>
    <col min="10245" max="10245" width="14.28515625" style="248" customWidth="1"/>
    <col min="10246" max="10246" width="13.140625" style="248" customWidth="1"/>
    <col min="10247" max="10247" width="19.85546875" style="248" customWidth="1"/>
    <col min="10248" max="10248" width="22.28515625" style="248" customWidth="1"/>
    <col min="10249" max="10250" width="15" style="248" customWidth="1"/>
    <col min="10251" max="10252" width="9.140625" style="248"/>
    <col min="10253" max="10253" width="14.28515625" style="248" customWidth="1"/>
    <col min="10254" max="10254" width="13.140625" style="248" customWidth="1"/>
    <col min="10255" max="10497" width="9.140625" style="248"/>
    <col min="10498" max="10498" width="49.28515625" style="248" customWidth="1"/>
    <col min="10499" max="10499" width="18.5703125" style="248" customWidth="1"/>
    <col min="10500" max="10500" width="22.85546875" style="248" customWidth="1"/>
    <col min="10501" max="10501" width="14.28515625" style="248" customWidth="1"/>
    <col min="10502" max="10502" width="13.140625" style="248" customWidth="1"/>
    <col min="10503" max="10503" width="19.85546875" style="248" customWidth="1"/>
    <col min="10504" max="10504" width="22.28515625" style="248" customWidth="1"/>
    <col min="10505" max="10506" width="15" style="248" customWidth="1"/>
    <col min="10507" max="10508" width="9.140625" style="248"/>
    <col min="10509" max="10509" width="14.28515625" style="248" customWidth="1"/>
    <col min="10510" max="10510" width="13.140625" style="248" customWidth="1"/>
    <col min="10511" max="10753" width="9.140625" style="248"/>
    <col min="10754" max="10754" width="49.28515625" style="248" customWidth="1"/>
    <col min="10755" max="10755" width="18.5703125" style="248" customWidth="1"/>
    <col min="10756" max="10756" width="22.85546875" style="248" customWidth="1"/>
    <col min="10757" max="10757" width="14.28515625" style="248" customWidth="1"/>
    <col min="10758" max="10758" width="13.140625" style="248" customWidth="1"/>
    <col min="10759" max="10759" width="19.85546875" style="248" customWidth="1"/>
    <col min="10760" max="10760" width="22.28515625" style="248" customWidth="1"/>
    <col min="10761" max="10762" width="15" style="248" customWidth="1"/>
    <col min="10763" max="10764" width="9.140625" style="248"/>
    <col min="10765" max="10765" width="14.28515625" style="248" customWidth="1"/>
    <col min="10766" max="10766" width="13.140625" style="248" customWidth="1"/>
    <col min="10767" max="11009" width="9.140625" style="248"/>
    <col min="11010" max="11010" width="49.28515625" style="248" customWidth="1"/>
    <col min="11011" max="11011" width="18.5703125" style="248" customWidth="1"/>
    <col min="11012" max="11012" width="22.85546875" style="248" customWidth="1"/>
    <col min="11013" max="11013" width="14.28515625" style="248" customWidth="1"/>
    <col min="11014" max="11014" width="13.140625" style="248" customWidth="1"/>
    <col min="11015" max="11015" width="19.85546875" style="248" customWidth="1"/>
    <col min="11016" max="11016" width="22.28515625" style="248" customWidth="1"/>
    <col min="11017" max="11018" width="15" style="248" customWidth="1"/>
    <col min="11019" max="11020" width="9.140625" style="248"/>
    <col min="11021" max="11021" width="14.28515625" style="248" customWidth="1"/>
    <col min="11022" max="11022" width="13.140625" style="248" customWidth="1"/>
    <col min="11023" max="11265" width="9.140625" style="248"/>
    <col min="11266" max="11266" width="49.28515625" style="248" customWidth="1"/>
    <col min="11267" max="11267" width="18.5703125" style="248" customWidth="1"/>
    <col min="11268" max="11268" width="22.85546875" style="248" customWidth="1"/>
    <col min="11269" max="11269" width="14.28515625" style="248" customWidth="1"/>
    <col min="11270" max="11270" width="13.140625" style="248" customWidth="1"/>
    <col min="11271" max="11271" width="19.85546875" style="248" customWidth="1"/>
    <col min="11272" max="11272" width="22.28515625" style="248" customWidth="1"/>
    <col min="11273" max="11274" width="15" style="248" customWidth="1"/>
    <col min="11275" max="11276" width="9.140625" style="248"/>
    <col min="11277" max="11277" width="14.28515625" style="248" customWidth="1"/>
    <col min="11278" max="11278" width="13.140625" style="248" customWidth="1"/>
    <col min="11279" max="11521" width="9.140625" style="248"/>
    <col min="11522" max="11522" width="49.28515625" style="248" customWidth="1"/>
    <col min="11523" max="11523" width="18.5703125" style="248" customWidth="1"/>
    <col min="11524" max="11524" width="22.85546875" style="248" customWidth="1"/>
    <col min="11525" max="11525" width="14.28515625" style="248" customWidth="1"/>
    <col min="11526" max="11526" width="13.140625" style="248" customWidth="1"/>
    <col min="11527" max="11527" width="19.85546875" style="248" customWidth="1"/>
    <col min="11528" max="11528" width="22.28515625" style="248" customWidth="1"/>
    <col min="11529" max="11530" width="15" style="248" customWidth="1"/>
    <col min="11531" max="11532" width="9.140625" style="248"/>
    <col min="11533" max="11533" width="14.28515625" style="248" customWidth="1"/>
    <col min="11534" max="11534" width="13.140625" style="248" customWidth="1"/>
    <col min="11535" max="11777" width="9.140625" style="248"/>
    <col min="11778" max="11778" width="49.28515625" style="248" customWidth="1"/>
    <col min="11779" max="11779" width="18.5703125" style="248" customWidth="1"/>
    <col min="11780" max="11780" width="22.85546875" style="248" customWidth="1"/>
    <col min="11781" max="11781" width="14.28515625" style="248" customWidth="1"/>
    <col min="11782" max="11782" width="13.140625" style="248" customWidth="1"/>
    <col min="11783" max="11783" width="19.85546875" style="248" customWidth="1"/>
    <col min="11784" max="11784" width="22.28515625" style="248" customWidth="1"/>
    <col min="11785" max="11786" width="15" style="248" customWidth="1"/>
    <col min="11787" max="11788" width="9.140625" style="248"/>
    <col min="11789" max="11789" width="14.28515625" style="248" customWidth="1"/>
    <col min="11790" max="11790" width="13.140625" style="248" customWidth="1"/>
    <col min="11791" max="12033" width="9.140625" style="248"/>
    <col min="12034" max="12034" width="49.28515625" style="248" customWidth="1"/>
    <col min="12035" max="12035" width="18.5703125" style="248" customWidth="1"/>
    <col min="12036" max="12036" width="22.85546875" style="248" customWidth="1"/>
    <col min="12037" max="12037" width="14.28515625" style="248" customWidth="1"/>
    <col min="12038" max="12038" width="13.140625" style="248" customWidth="1"/>
    <col min="12039" max="12039" width="19.85546875" style="248" customWidth="1"/>
    <col min="12040" max="12040" width="22.28515625" style="248" customWidth="1"/>
    <col min="12041" max="12042" width="15" style="248" customWidth="1"/>
    <col min="12043" max="12044" width="9.140625" style="248"/>
    <col min="12045" max="12045" width="14.28515625" style="248" customWidth="1"/>
    <col min="12046" max="12046" width="13.140625" style="248" customWidth="1"/>
    <col min="12047" max="12289" width="9.140625" style="248"/>
    <col min="12290" max="12290" width="49.28515625" style="248" customWidth="1"/>
    <col min="12291" max="12291" width="18.5703125" style="248" customWidth="1"/>
    <col min="12292" max="12292" width="22.85546875" style="248" customWidth="1"/>
    <col min="12293" max="12293" width="14.28515625" style="248" customWidth="1"/>
    <col min="12294" max="12294" width="13.140625" style="248" customWidth="1"/>
    <col min="12295" max="12295" width="19.85546875" style="248" customWidth="1"/>
    <col min="12296" max="12296" width="22.28515625" style="248" customWidth="1"/>
    <col min="12297" max="12298" width="15" style="248" customWidth="1"/>
    <col min="12299" max="12300" width="9.140625" style="248"/>
    <col min="12301" max="12301" width="14.28515625" style="248" customWidth="1"/>
    <col min="12302" max="12302" width="13.140625" style="248" customWidth="1"/>
    <col min="12303" max="12545" width="9.140625" style="248"/>
    <col min="12546" max="12546" width="49.28515625" style="248" customWidth="1"/>
    <col min="12547" max="12547" width="18.5703125" style="248" customWidth="1"/>
    <col min="12548" max="12548" width="22.85546875" style="248" customWidth="1"/>
    <col min="12549" max="12549" width="14.28515625" style="248" customWidth="1"/>
    <col min="12550" max="12550" width="13.140625" style="248" customWidth="1"/>
    <col min="12551" max="12551" width="19.85546875" style="248" customWidth="1"/>
    <col min="12552" max="12552" width="22.28515625" style="248" customWidth="1"/>
    <col min="12553" max="12554" width="15" style="248" customWidth="1"/>
    <col min="12555" max="12556" width="9.140625" style="248"/>
    <col min="12557" max="12557" width="14.28515625" style="248" customWidth="1"/>
    <col min="12558" max="12558" width="13.140625" style="248" customWidth="1"/>
    <col min="12559" max="12801" width="9.140625" style="248"/>
    <col min="12802" max="12802" width="49.28515625" style="248" customWidth="1"/>
    <col min="12803" max="12803" width="18.5703125" style="248" customWidth="1"/>
    <col min="12804" max="12804" width="22.85546875" style="248" customWidth="1"/>
    <col min="12805" max="12805" width="14.28515625" style="248" customWidth="1"/>
    <col min="12806" max="12806" width="13.140625" style="248" customWidth="1"/>
    <col min="12807" max="12807" width="19.85546875" style="248" customWidth="1"/>
    <col min="12808" max="12808" width="22.28515625" style="248" customWidth="1"/>
    <col min="12809" max="12810" width="15" style="248" customWidth="1"/>
    <col min="12811" max="12812" width="9.140625" style="248"/>
    <col min="12813" max="12813" width="14.28515625" style="248" customWidth="1"/>
    <col min="12814" max="12814" width="13.140625" style="248" customWidth="1"/>
    <col min="12815" max="13057" width="9.140625" style="248"/>
    <col min="13058" max="13058" width="49.28515625" style="248" customWidth="1"/>
    <col min="13059" max="13059" width="18.5703125" style="248" customWidth="1"/>
    <col min="13060" max="13060" width="22.85546875" style="248" customWidth="1"/>
    <col min="13061" max="13061" width="14.28515625" style="248" customWidth="1"/>
    <col min="13062" max="13062" width="13.140625" style="248" customWidth="1"/>
    <col min="13063" max="13063" width="19.85546875" style="248" customWidth="1"/>
    <col min="13064" max="13064" width="22.28515625" style="248" customWidth="1"/>
    <col min="13065" max="13066" width="15" style="248" customWidth="1"/>
    <col min="13067" max="13068" width="9.140625" style="248"/>
    <col min="13069" max="13069" width="14.28515625" style="248" customWidth="1"/>
    <col min="13070" max="13070" width="13.140625" style="248" customWidth="1"/>
    <col min="13071" max="13313" width="9.140625" style="248"/>
    <col min="13314" max="13314" width="49.28515625" style="248" customWidth="1"/>
    <col min="13315" max="13315" width="18.5703125" style="248" customWidth="1"/>
    <col min="13316" max="13316" width="22.85546875" style="248" customWidth="1"/>
    <col min="13317" max="13317" width="14.28515625" style="248" customWidth="1"/>
    <col min="13318" max="13318" width="13.140625" style="248" customWidth="1"/>
    <col min="13319" max="13319" width="19.85546875" style="248" customWidth="1"/>
    <col min="13320" max="13320" width="22.28515625" style="248" customWidth="1"/>
    <col min="13321" max="13322" width="15" style="248" customWidth="1"/>
    <col min="13323" max="13324" width="9.140625" style="248"/>
    <col min="13325" max="13325" width="14.28515625" style="248" customWidth="1"/>
    <col min="13326" max="13326" width="13.140625" style="248" customWidth="1"/>
    <col min="13327" max="13569" width="9.140625" style="248"/>
    <col min="13570" max="13570" width="49.28515625" style="248" customWidth="1"/>
    <col min="13571" max="13571" width="18.5703125" style="248" customWidth="1"/>
    <col min="13572" max="13572" width="22.85546875" style="248" customWidth="1"/>
    <col min="13573" max="13573" width="14.28515625" style="248" customWidth="1"/>
    <col min="13574" max="13574" width="13.140625" style="248" customWidth="1"/>
    <col min="13575" max="13575" width="19.85546875" style="248" customWidth="1"/>
    <col min="13576" max="13576" width="22.28515625" style="248" customWidth="1"/>
    <col min="13577" max="13578" width="15" style="248" customWidth="1"/>
    <col min="13579" max="13580" width="9.140625" style="248"/>
    <col min="13581" max="13581" width="14.28515625" style="248" customWidth="1"/>
    <col min="13582" max="13582" width="13.140625" style="248" customWidth="1"/>
    <col min="13583" max="13825" width="9.140625" style="248"/>
    <col min="13826" max="13826" width="49.28515625" style="248" customWidth="1"/>
    <col min="13827" max="13827" width="18.5703125" style="248" customWidth="1"/>
    <col min="13828" max="13828" width="22.85546875" style="248" customWidth="1"/>
    <col min="13829" max="13829" width="14.28515625" style="248" customWidth="1"/>
    <col min="13830" max="13830" width="13.140625" style="248" customWidth="1"/>
    <col min="13831" max="13831" width="19.85546875" style="248" customWidth="1"/>
    <col min="13832" max="13832" width="22.28515625" style="248" customWidth="1"/>
    <col min="13833" max="13834" width="15" style="248" customWidth="1"/>
    <col min="13835" max="13836" width="9.140625" style="248"/>
    <col min="13837" max="13837" width="14.28515625" style="248" customWidth="1"/>
    <col min="13838" max="13838" width="13.140625" style="248" customWidth="1"/>
    <col min="13839" max="14081" width="9.140625" style="248"/>
    <col min="14082" max="14082" width="49.28515625" style="248" customWidth="1"/>
    <col min="14083" max="14083" width="18.5703125" style="248" customWidth="1"/>
    <col min="14084" max="14084" width="22.85546875" style="248" customWidth="1"/>
    <col min="14085" max="14085" width="14.28515625" style="248" customWidth="1"/>
    <col min="14086" max="14086" width="13.140625" style="248" customWidth="1"/>
    <col min="14087" max="14087" width="19.85546875" style="248" customWidth="1"/>
    <col min="14088" max="14088" width="22.28515625" style="248" customWidth="1"/>
    <col min="14089" max="14090" width="15" style="248" customWidth="1"/>
    <col min="14091" max="14092" width="9.140625" style="248"/>
    <col min="14093" max="14093" width="14.28515625" style="248" customWidth="1"/>
    <col min="14094" max="14094" width="13.140625" style="248" customWidth="1"/>
    <col min="14095" max="14337" width="9.140625" style="248"/>
    <col min="14338" max="14338" width="49.28515625" style="248" customWidth="1"/>
    <col min="14339" max="14339" width="18.5703125" style="248" customWidth="1"/>
    <col min="14340" max="14340" width="22.85546875" style="248" customWidth="1"/>
    <col min="14341" max="14341" width="14.28515625" style="248" customWidth="1"/>
    <col min="14342" max="14342" width="13.140625" style="248" customWidth="1"/>
    <col min="14343" max="14343" width="19.85546875" style="248" customWidth="1"/>
    <col min="14344" max="14344" width="22.28515625" style="248" customWidth="1"/>
    <col min="14345" max="14346" width="15" style="248" customWidth="1"/>
    <col min="14347" max="14348" width="9.140625" style="248"/>
    <col min="14349" max="14349" width="14.28515625" style="248" customWidth="1"/>
    <col min="14350" max="14350" width="13.140625" style="248" customWidth="1"/>
    <col min="14351" max="14593" width="9.140625" style="248"/>
    <col min="14594" max="14594" width="49.28515625" style="248" customWidth="1"/>
    <col min="14595" max="14595" width="18.5703125" style="248" customWidth="1"/>
    <col min="14596" max="14596" width="22.85546875" style="248" customWidth="1"/>
    <col min="14597" max="14597" width="14.28515625" style="248" customWidth="1"/>
    <col min="14598" max="14598" width="13.140625" style="248" customWidth="1"/>
    <col min="14599" max="14599" width="19.85546875" style="248" customWidth="1"/>
    <col min="14600" max="14600" width="22.28515625" style="248" customWidth="1"/>
    <col min="14601" max="14602" width="15" style="248" customWidth="1"/>
    <col min="14603" max="14604" width="9.140625" style="248"/>
    <col min="14605" max="14605" width="14.28515625" style="248" customWidth="1"/>
    <col min="14606" max="14606" width="13.140625" style="248" customWidth="1"/>
    <col min="14607" max="14849" width="9.140625" style="248"/>
    <col min="14850" max="14850" width="49.28515625" style="248" customWidth="1"/>
    <col min="14851" max="14851" width="18.5703125" style="248" customWidth="1"/>
    <col min="14852" max="14852" width="22.85546875" style="248" customWidth="1"/>
    <col min="14853" max="14853" width="14.28515625" style="248" customWidth="1"/>
    <col min="14854" max="14854" width="13.140625" style="248" customWidth="1"/>
    <col min="14855" max="14855" width="19.85546875" style="248" customWidth="1"/>
    <col min="14856" max="14856" width="22.28515625" style="248" customWidth="1"/>
    <col min="14857" max="14858" width="15" style="248" customWidth="1"/>
    <col min="14859" max="14860" width="9.140625" style="248"/>
    <col min="14861" max="14861" width="14.28515625" style="248" customWidth="1"/>
    <col min="14862" max="14862" width="13.140625" style="248" customWidth="1"/>
    <col min="14863" max="15105" width="9.140625" style="248"/>
    <col min="15106" max="15106" width="49.28515625" style="248" customWidth="1"/>
    <col min="15107" max="15107" width="18.5703125" style="248" customWidth="1"/>
    <col min="15108" max="15108" width="22.85546875" style="248" customWidth="1"/>
    <col min="15109" max="15109" width="14.28515625" style="248" customWidth="1"/>
    <col min="15110" max="15110" width="13.140625" style="248" customWidth="1"/>
    <col min="15111" max="15111" width="19.85546875" style="248" customWidth="1"/>
    <col min="15112" max="15112" width="22.28515625" style="248" customWidth="1"/>
    <col min="15113" max="15114" width="15" style="248" customWidth="1"/>
    <col min="15115" max="15116" width="9.140625" style="248"/>
    <col min="15117" max="15117" width="14.28515625" style="248" customWidth="1"/>
    <col min="15118" max="15118" width="13.140625" style="248" customWidth="1"/>
    <col min="15119" max="15361" width="9.140625" style="248"/>
    <col min="15362" max="15362" width="49.28515625" style="248" customWidth="1"/>
    <col min="15363" max="15363" width="18.5703125" style="248" customWidth="1"/>
    <col min="15364" max="15364" width="22.85546875" style="248" customWidth="1"/>
    <col min="15365" max="15365" width="14.28515625" style="248" customWidth="1"/>
    <col min="15366" max="15366" width="13.140625" style="248" customWidth="1"/>
    <col min="15367" max="15367" width="19.85546875" style="248" customWidth="1"/>
    <col min="15368" max="15368" width="22.28515625" style="248" customWidth="1"/>
    <col min="15369" max="15370" width="15" style="248" customWidth="1"/>
    <col min="15371" max="15372" width="9.140625" style="248"/>
    <col min="15373" max="15373" width="14.28515625" style="248" customWidth="1"/>
    <col min="15374" max="15374" width="13.140625" style="248" customWidth="1"/>
    <col min="15375" max="15617" width="9.140625" style="248"/>
    <col min="15618" max="15618" width="49.28515625" style="248" customWidth="1"/>
    <col min="15619" max="15619" width="18.5703125" style="248" customWidth="1"/>
    <col min="15620" max="15620" width="22.85546875" style="248" customWidth="1"/>
    <col min="15621" max="15621" width="14.28515625" style="248" customWidth="1"/>
    <col min="15622" max="15622" width="13.140625" style="248" customWidth="1"/>
    <col min="15623" max="15623" width="19.85546875" style="248" customWidth="1"/>
    <col min="15624" max="15624" width="22.28515625" style="248" customWidth="1"/>
    <col min="15625" max="15626" width="15" style="248" customWidth="1"/>
    <col min="15627" max="15628" width="9.140625" style="248"/>
    <col min="15629" max="15629" width="14.28515625" style="248" customWidth="1"/>
    <col min="15630" max="15630" width="13.140625" style="248" customWidth="1"/>
    <col min="15631" max="15873" width="9.140625" style="248"/>
    <col min="15874" max="15874" width="49.28515625" style="248" customWidth="1"/>
    <col min="15875" max="15875" width="18.5703125" style="248" customWidth="1"/>
    <col min="15876" max="15876" width="22.85546875" style="248" customWidth="1"/>
    <col min="15877" max="15877" width="14.28515625" style="248" customWidth="1"/>
    <col min="15878" max="15878" width="13.140625" style="248" customWidth="1"/>
    <col min="15879" max="15879" width="19.85546875" style="248" customWidth="1"/>
    <col min="15880" max="15880" width="22.28515625" style="248" customWidth="1"/>
    <col min="15881" max="15882" width="15" style="248" customWidth="1"/>
    <col min="15883" max="15884" width="9.140625" style="248"/>
    <col min="15885" max="15885" width="14.28515625" style="248" customWidth="1"/>
    <col min="15886" max="15886" width="13.140625" style="248" customWidth="1"/>
    <col min="15887" max="16129" width="9.140625" style="248"/>
    <col min="16130" max="16130" width="49.28515625" style="248" customWidth="1"/>
    <col min="16131" max="16131" width="18.5703125" style="248" customWidth="1"/>
    <col min="16132" max="16132" width="22.85546875" style="248" customWidth="1"/>
    <col min="16133" max="16133" width="14.28515625" style="248" customWidth="1"/>
    <col min="16134" max="16134" width="13.140625" style="248" customWidth="1"/>
    <col min="16135" max="16135" width="19.85546875" style="248" customWidth="1"/>
    <col min="16136" max="16136" width="22.28515625" style="248" customWidth="1"/>
    <col min="16137" max="16138" width="15" style="248" customWidth="1"/>
    <col min="16139" max="16140" width="9.140625" style="248"/>
    <col min="16141" max="16141" width="14.28515625" style="248" customWidth="1"/>
    <col min="16142" max="16142" width="13.140625" style="248" customWidth="1"/>
    <col min="16143" max="16384" width="9.140625" style="248"/>
  </cols>
  <sheetData>
    <row r="1" spans="2:16" ht="27" customHeight="1">
      <c r="B1" s="1066"/>
      <c r="C1" s="1067"/>
      <c r="D1" s="1067"/>
      <c r="E1" s="1067"/>
      <c r="F1" s="1067"/>
      <c r="G1" s="1067"/>
      <c r="H1" s="1067"/>
      <c r="I1" s="1067"/>
      <c r="J1" s="1067"/>
      <c r="L1" s="248">
        <v>1.04</v>
      </c>
      <c r="M1" s="248" t="s">
        <v>709</v>
      </c>
    </row>
    <row r="2" spans="2:16" ht="30" customHeight="1">
      <c r="B2" s="1882" t="s">
        <v>1994</v>
      </c>
      <c r="C2" s="1882"/>
      <c r="D2" s="1882"/>
      <c r="E2" s="1882"/>
      <c r="F2" s="1882"/>
      <c r="G2" s="1882"/>
      <c r="H2" s="1882"/>
      <c r="I2" s="1882"/>
      <c r="J2" s="1882"/>
    </row>
    <row r="3" spans="2:16" s="264" customFormat="1" ht="24" customHeight="1">
      <c r="B3" s="1053"/>
      <c r="C3" s="1054"/>
      <c r="D3" s="1055"/>
      <c r="E3" s="1056"/>
      <c r="F3" s="1057"/>
      <c r="G3" s="1054" t="s">
        <v>1753</v>
      </c>
      <c r="H3" s="1055"/>
      <c r="I3" s="1056"/>
      <c r="J3" s="1057"/>
      <c r="M3" s="1887" t="s">
        <v>950</v>
      </c>
      <c r="N3" s="1888"/>
      <c r="O3" s="1888"/>
      <c r="P3" s="1889"/>
    </row>
    <row r="4" spans="2:16" s="264" customFormat="1" ht="24" customHeight="1">
      <c r="B4" s="1058" t="s">
        <v>1743</v>
      </c>
      <c r="C4" s="1323" t="s">
        <v>1990</v>
      </c>
      <c r="D4" s="1008"/>
      <c r="E4" s="1059"/>
      <c r="F4" s="1060"/>
      <c r="G4" s="1008" t="s">
        <v>1738</v>
      </c>
      <c r="H4" s="1008"/>
      <c r="I4" s="1059"/>
      <c r="J4" s="1060"/>
    </row>
    <row r="5" spans="2:16" s="264" customFormat="1" ht="24" customHeight="1">
      <c r="B5" s="323"/>
      <c r="C5" s="486" t="s">
        <v>1754</v>
      </c>
      <c r="D5" s="486" t="s">
        <v>1755</v>
      </c>
      <c r="E5" s="1061" t="s">
        <v>1756</v>
      </c>
      <c r="F5" s="1062"/>
      <c r="G5" s="486" t="s">
        <v>1754</v>
      </c>
      <c r="H5" s="486" t="s">
        <v>1755</v>
      </c>
      <c r="I5" s="1068" t="s">
        <v>1756</v>
      </c>
      <c r="J5" s="1069"/>
      <c r="M5" s="265" t="s">
        <v>497</v>
      </c>
      <c r="N5" s="265" t="s">
        <v>519</v>
      </c>
    </row>
    <row r="6" spans="2:16" s="264" customFormat="1" ht="35.25" customHeight="1">
      <c r="B6" s="325" t="s">
        <v>1747</v>
      </c>
      <c r="C6" s="486" t="s">
        <v>497</v>
      </c>
      <c r="D6" s="486" t="s">
        <v>519</v>
      </c>
      <c r="E6" s="487" t="s">
        <v>1737</v>
      </c>
      <c r="F6" s="487"/>
      <c r="G6" s="486" t="s">
        <v>497</v>
      </c>
      <c r="H6" s="486" t="s">
        <v>519</v>
      </c>
      <c r="I6" s="486" t="s">
        <v>1737</v>
      </c>
      <c r="J6" s="487"/>
      <c r="M6" s="266" t="s">
        <v>498</v>
      </c>
      <c r="N6" s="266" t="s">
        <v>498</v>
      </c>
    </row>
    <row r="7" spans="2:16" ht="27.75" customHeight="1">
      <c r="B7" s="328" t="s">
        <v>1748</v>
      </c>
      <c r="C7" s="456" t="s">
        <v>498</v>
      </c>
      <c r="D7" s="455" t="s">
        <v>498</v>
      </c>
      <c r="E7" s="462" t="s">
        <v>498</v>
      </c>
      <c r="F7" s="463" t="s">
        <v>1726</v>
      </c>
      <c r="G7" s="462" t="s">
        <v>498</v>
      </c>
      <c r="H7" s="462" t="s">
        <v>498</v>
      </c>
      <c r="I7" s="462" t="s">
        <v>498</v>
      </c>
      <c r="J7" s="463" t="s">
        <v>1726</v>
      </c>
      <c r="M7" s="488">
        <v>252</v>
      </c>
      <c r="N7" s="488">
        <v>252</v>
      </c>
      <c r="P7" s="267"/>
    </row>
    <row r="8" spans="2:16" ht="27" customHeight="1">
      <c r="B8" s="328" t="s">
        <v>745</v>
      </c>
      <c r="C8" s="462">
        <v>282</v>
      </c>
      <c r="D8" s="460">
        <v>282</v>
      </c>
      <c r="E8" s="462">
        <v>0</v>
      </c>
      <c r="F8" s="463">
        <v>0</v>
      </c>
      <c r="G8" s="462">
        <v>282</v>
      </c>
      <c r="H8" s="462">
        <v>282</v>
      </c>
      <c r="I8" s="462">
        <v>0</v>
      </c>
      <c r="J8" s="463">
        <v>0</v>
      </c>
      <c r="M8" s="488">
        <v>5200</v>
      </c>
      <c r="N8" s="488">
        <v>5200</v>
      </c>
      <c r="P8" s="267"/>
    </row>
    <row r="9" spans="2:16" ht="24" customHeight="1">
      <c r="B9" s="328" t="s">
        <v>1507</v>
      </c>
      <c r="C9" s="462">
        <v>4959</v>
      </c>
      <c r="D9" s="460">
        <v>4959</v>
      </c>
      <c r="E9" s="462">
        <v>0</v>
      </c>
      <c r="F9" s="463">
        <v>0</v>
      </c>
      <c r="G9" s="462">
        <v>4959</v>
      </c>
      <c r="H9" s="462">
        <v>4959</v>
      </c>
      <c r="I9" s="462">
        <v>0</v>
      </c>
      <c r="J9" s="463">
        <v>0</v>
      </c>
      <c r="M9" s="488">
        <v>7706</v>
      </c>
      <c r="N9" s="488">
        <v>7706</v>
      </c>
      <c r="P9" s="267"/>
    </row>
    <row r="10" spans="2:16" ht="22.5" customHeight="1">
      <c r="B10" s="329" t="s">
        <v>746</v>
      </c>
      <c r="C10" s="462">
        <v>8286</v>
      </c>
      <c r="D10" s="460">
        <v>8286</v>
      </c>
      <c r="E10" s="462">
        <v>0</v>
      </c>
      <c r="F10" s="463">
        <v>0</v>
      </c>
      <c r="G10" s="462">
        <v>8286</v>
      </c>
      <c r="H10" s="462">
        <v>8286</v>
      </c>
      <c r="I10" s="462">
        <v>0</v>
      </c>
      <c r="J10" s="463">
        <v>0</v>
      </c>
      <c r="M10" s="488">
        <v>1424</v>
      </c>
      <c r="N10" s="488">
        <v>1424</v>
      </c>
      <c r="P10" s="267"/>
    </row>
    <row r="11" spans="2:16" ht="24" customHeight="1">
      <c r="B11" s="1049" t="s">
        <v>45</v>
      </c>
      <c r="C11" s="462">
        <v>1440</v>
      </c>
      <c r="D11" s="460">
        <v>1440</v>
      </c>
      <c r="E11" s="462">
        <v>0</v>
      </c>
      <c r="F11" s="463">
        <v>0</v>
      </c>
      <c r="G11" s="462">
        <v>1568</v>
      </c>
      <c r="H11" s="462">
        <v>1568</v>
      </c>
      <c r="I11" s="462">
        <v>0</v>
      </c>
      <c r="J11" s="463">
        <v>0</v>
      </c>
      <c r="M11" s="488">
        <v>2729</v>
      </c>
      <c r="N11" s="488">
        <v>2183</v>
      </c>
      <c r="P11" s="267"/>
    </row>
    <row r="12" spans="2:16" ht="24" customHeight="1">
      <c r="B12" s="329" t="s">
        <v>1508</v>
      </c>
      <c r="C12" s="462">
        <v>2812</v>
      </c>
      <c r="D12" s="460">
        <v>2612</v>
      </c>
      <c r="E12" s="462">
        <v>200</v>
      </c>
      <c r="F12" s="463">
        <v>7.1123755334281658</v>
      </c>
      <c r="G12" s="462">
        <v>3018</v>
      </c>
      <c r="H12" s="462">
        <v>2668</v>
      </c>
      <c r="I12" s="462">
        <v>350</v>
      </c>
      <c r="J12" s="463">
        <v>11.597084161696488</v>
      </c>
      <c r="M12" s="488">
        <v>7083</v>
      </c>
      <c r="N12" s="488">
        <v>7083</v>
      </c>
      <c r="P12" s="267"/>
    </row>
    <row r="13" spans="2:16" ht="24" customHeight="1">
      <c r="B13" s="329" t="s">
        <v>46</v>
      </c>
      <c r="C13" s="462">
        <v>8195</v>
      </c>
      <c r="D13" s="460">
        <v>8195</v>
      </c>
      <c r="E13" s="462">
        <v>0</v>
      </c>
      <c r="F13" s="463">
        <v>0</v>
      </c>
      <c r="G13" s="462">
        <v>8195</v>
      </c>
      <c r="H13" s="462">
        <v>8195</v>
      </c>
      <c r="I13" s="462">
        <v>0</v>
      </c>
      <c r="J13" s="463">
        <v>0</v>
      </c>
      <c r="M13" s="488">
        <v>10053</v>
      </c>
      <c r="N13" s="488">
        <v>10053</v>
      </c>
      <c r="P13" s="267"/>
    </row>
    <row r="14" spans="2:16" ht="24" customHeight="1">
      <c r="B14" s="329" t="s">
        <v>47</v>
      </c>
      <c r="C14" s="462">
        <v>11531</v>
      </c>
      <c r="D14" s="460">
        <v>11531</v>
      </c>
      <c r="E14" s="462">
        <v>0</v>
      </c>
      <c r="F14" s="463">
        <v>0</v>
      </c>
      <c r="G14" s="462">
        <v>11570</v>
      </c>
      <c r="H14" s="462">
        <v>11570</v>
      </c>
      <c r="I14" s="462">
        <v>0</v>
      </c>
      <c r="J14" s="463">
        <v>0</v>
      </c>
      <c r="M14" s="488">
        <v>16944.507108999998</v>
      </c>
      <c r="N14" s="488">
        <v>16697.496883</v>
      </c>
      <c r="P14" s="267"/>
    </row>
    <row r="15" spans="2:16" ht="24" customHeight="1">
      <c r="B15" s="329" t="s">
        <v>747</v>
      </c>
      <c r="C15" s="462">
        <v>20604</v>
      </c>
      <c r="D15" s="462">
        <v>20604</v>
      </c>
      <c r="E15" s="462">
        <v>0</v>
      </c>
      <c r="F15" s="463">
        <v>0</v>
      </c>
      <c r="G15" s="462">
        <v>20604</v>
      </c>
      <c r="H15" s="462">
        <v>20604</v>
      </c>
      <c r="I15" s="462">
        <v>0</v>
      </c>
      <c r="J15" s="463">
        <v>0</v>
      </c>
      <c r="M15" s="488">
        <v>1953</v>
      </c>
      <c r="N15" s="488">
        <v>1953</v>
      </c>
      <c r="P15" s="267"/>
    </row>
    <row r="16" spans="2:16" ht="32.25" customHeight="1" thickBot="1">
      <c r="B16" s="336" t="s">
        <v>748</v>
      </c>
      <c r="C16" s="462">
        <v>1798</v>
      </c>
      <c r="D16" s="462">
        <v>1798</v>
      </c>
      <c r="E16" s="462">
        <v>0</v>
      </c>
      <c r="F16" s="964">
        <v>0</v>
      </c>
      <c r="G16" s="462">
        <v>1917</v>
      </c>
      <c r="H16" s="462">
        <v>1917</v>
      </c>
      <c r="I16" s="462">
        <v>0</v>
      </c>
      <c r="J16" s="964">
        <v>0</v>
      </c>
      <c r="M16" s="490">
        <v>48824</v>
      </c>
      <c r="N16" s="491">
        <v>48367</v>
      </c>
      <c r="P16" s="267"/>
    </row>
    <row r="17" spans="2:17" ht="24" customHeight="1" thickTop="1" thickBot="1">
      <c r="B17" s="337" t="s">
        <v>749</v>
      </c>
      <c r="C17" s="494">
        <v>53035</v>
      </c>
      <c r="D17" s="494">
        <v>52885</v>
      </c>
      <c r="E17" s="494">
        <v>150</v>
      </c>
      <c r="F17" s="495">
        <v>0.28283209201470727</v>
      </c>
      <c r="G17" s="494">
        <v>53035</v>
      </c>
      <c r="H17" s="494">
        <v>52885</v>
      </c>
      <c r="I17" s="494">
        <v>150</v>
      </c>
      <c r="J17" s="495">
        <v>0.28283209201470727</v>
      </c>
      <c r="M17" s="488">
        <v>3658.1384628870173</v>
      </c>
      <c r="N17" s="488">
        <v>3644.6984628870173</v>
      </c>
      <c r="P17" s="267"/>
    </row>
    <row r="18" spans="2:17" ht="24" customHeight="1" thickTop="1">
      <c r="B18" s="331" t="s">
        <v>715</v>
      </c>
      <c r="C18" s="462">
        <v>4059</v>
      </c>
      <c r="D18" s="462">
        <v>4059</v>
      </c>
      <c r="E18" s="462">
        <v>0</v>
      </c>
      <c r="F18" s="463">
        <v>0</v>
      </c>
      <c r="G18" s="461">
        <v>4792.0263500000001</v>
      </c>
      <c r="H18" s="462">
        <v>4787</v>
      </c>
      <c r="I18" s="462">
        <v>5.0263500000000931</v>
      </c>
      <c r="J18" s="463">
        <v>0.1048898656410788</v>
      </c>
      <c r="K18" s="492"/>
      <c r="L18" s="191"/>
      <c r="M18" s="488">
        <v>15015.888491164926</v>
      </c>
      <c r="N18" s="488">
        <v>15004.788491164925</v>
      </c>
      <c r="O18" s="1890" t="s">
        <v>710</v>
      </c>
      <c r="P18" s="1890"/>
      <c r="Q18" s="1890"/>
    </row>
    <row r="19" spans="2:17" ht="24" customHeight="1">
      <c r="B19" s="331" t="s">
        <v>48</v>
      </c>
      <c r="C19" s="462">
        <v>17924.2713</v>
      </c>
      <c r="D19" s="462">
        <v>17918</v>
      </c>
      <c r="E19" s="462">
        <v>6.2713000000003376</v>
      </c>
      <c r="F19" s="463">
        <v>3.4987754286001788E-2</v>
      </c>
      <c r="G19" s="462">
        <v>19360</v>
      </c>
      <c r="H19" s="462">
        <v>19360</v>
      </c>
      <c r="I19" s="462">
        <v>0</v>
      </c>
      <c r="J19" s="463">
        <v>0</v>
      </c>
      <c r="M19" s="488">
        <v>8591.240472904492</v>
      </c>
      <c r="N19" s="488">
        <v>8588.5904729044923</v>
      </c>
      <c r="P19" s="267"/>
    </row>
    <row r="20" spans="2:17" ht="24" customHeight="1">
      <c r="B20" s="331" t="s">
        <v>49</v>
      </c>
      <c r="C20" s="462">
        <v>10239.519999999999</v>
      </c>
      <c r="D20" s="462">
        <v>10239.519999999999</v>
      </c>
      <c r="E20" s="462">
        <v>0</v>
      </c>
      <c r="F20" s="463">
        <v>0</v>
      </c>
      <c r="G20" s="462">
        <v>11392.350000000002</v>
      </c>
      <c r="H20" s="462">
        <v>11392.350000000002</v>
      </c>
      <c r="I20" s="462">
        <v>0</v>
      </c>
      <c r="J20" s="463">
        <v>0</v>
      </c>
      <c r="M20" s="488">
        <v>23306.267973173504</v>
      </c>
      <c r="N20" s="488">
        <v>23206.817973173504</v>
      </c>
      <c r="P20" s="267"/>
    </row>
    <row r="21" spans="2:17" ht="24" customHeight="1">
      <c r="B21" s="331" t="s">
        <v>50</v>
      </c>
      <c r="C21" s="462">
        <v>23745.907050000002</v>
      </c>
      <c r="D21" s="462">
        <v>23721</v>
      </c>
      <c r="E21" s="462">
        <v>24.907050000001618</v>
      </c>
      <c r="F21" s="463">
        <v>0.10488986564108368</v>
      </c>
      <c r="G21" s="462">
        <v>25652.975399999999</v>
      </c>
      <c r="H21" s="462">
        <v>25644</v>
      </c>
      <c r="I21" s="462">
        <v>8.9753999999993539</v>
      </c>
      <c r="J21" s="463">
        <v>3.4987754285997381E-2</v>
      </c>
      <c r="M21" s="488">
        <v>347.21</v>
      </c>
      <c r="N21" s="488">
        <v>347.21</v>
      </c>
      <c r="P21" s="267"/>
    </row>
    <row r="22" spans="2:17" ht="29.25" customHeight="1">
      <c r="B22" s="336" t="s">
        <v>51</v>
      </c>
      <c r="C22" s="462">
        <v>300.21000000000004</v>
      </c>
      <c r="D22" s="462">
        <v>300</v>
      </c>
      <c r="E22" s="462">
        <v>0.21000000000003638</v>
      </c>
      <c r="F22" s="463">
        <v>6.9951034276018897E-2</v>
      </c>
      <c r="G22" s="462">
        <v>344</v>
      </c>
      <c r="H22" s="462">
        <v>344</v>
      </c>
      <c r="I22" s="462">
        <v>0</v>
      </c>
      <c r="J22" s="463">
        <v>0</v>
      </c>
      <c r="M22" s="488">
        <v>778</v>
      </c>
      <c r="N22" s="488">
        <v>778</v>
      </c>
      <c r="P22" s="267"/>
    </row>
    <row r="23" spans="2:17" ht="24.75" customHeight="1">
      <c r="B23" s="331" t="s">
        <v>1995</v>
      </c>
      <c r="C23" s="462">
        <v>727</v>
      </c>
      <c r="D23" s="462">
        <v>727</v>
      </c>
      <c r="E23" s="462">
        <v>0</v>
      </c>
      <c r="F23" s="463">
        <v>0</v>
      </c>
      <c r="G23" s="462">
        <v>847.29644999999994</v>
      </c>
      <c r="H23" s="462">
        <v>847</v>
      </c>
      <c r="I23" s="462">
        <v>0.29644999999993615</v>
      </c>
      <c r="J23" s="463">
        <v>3.4987754285992372E-2</v>
      </c>
      <c r="M23" s="488">
        <v>562.20000000000005</v>
      </c>
      <c r="N23" s="488">
        <v>562</v>
      </c>
      <c r="P23" s="267"/>
    </row>
    <row r="24" spans="2:17" ht="33.75" customHeight="1" thickBot="1">
      <c r="B24" s="336" t="s">
        <v>52</v>
      </c>
      <c r="C24" s="462">
        <v>645.5</v>
      </c>
      <c r="D24" s="462">
        <v>645.5</v>
      </c>
      <c r="E24" s="462">
        <v>0</v>
      </c>
      <c r="F24" s="964">
        <v>0</v>
      </c>
      <c r="G24" s="462">
        <v>645.5</v>
      </c>
      <c r="H24" s="462">
        <v>645.5</v>
      </c>
      <c r="I24" s="462">
        <v>0</v>
      </c>
      <c r="J24" s="964">
        <v>0</v>
      </c>
      <c r="M24" s="490">
        <v>50654.1436132608</v>
      </c>
      <c r="N24" s="491">
        <v>50433.943613260803</v>
      </c>
      <c r="P24" s="267"/>
    </row>
    <row r="25" spans="2:17" ht="27" customHeight="1" thickTop="1" thickBot="1">
      <c r="B25" s="337" t="s">
        <v>53</v>
      </c>
      <c r="C25" s="494">
        <v>56129.587505919859</v>
      </c>
      <c r="D25" s="494">
        <v>56070.713257000003</v>
      </c>
      <c r="E25" s="494">
        <v>58.874248919855745</v>
      </c>
      <c r="F25" s="495">
        <v>0.10488986564108708</v>
      </c>
      <c r="G25" s="494">
        <v>60966</v>
      </c>
      <c r="H25" s="494">
        <v>60966</v>
      </c>
      <c r="I25" s="494">
        <v>0</v>
      </c>
      <c r="J25" s="495">
        <v>0</v>
      </c>
      <c r="M25" s="488">
        <v>8967.0091151285869</v>
      </c>
      <c r="N25" s="488">
        <v>8945</v>
      </c>
      <c r="P25" s="267"/>
    </row>
    <row r="26" spans="2:17" ht="24" customHeight="1" thickTop="1">
      <c r="B26" s="331" t="s">
        <v>54</v>
      </c>
      <c r="C26" s="462">
        <v>10252</v>
      </c>
      <c r="D26" s="462">
        <v>10252</v>
      </c>
      <c r="E26" s="462">
        <v>0</v>
      </c>
      <c r="F26" s="463">
        <v>0</v>
      </c>
      <c r="G26" s="462">
        <v>11570</v>
      </c>
      <c r="H26" s="462">
        <v>11570</v>
      </c>
      <c r="I26" s="462">
        <v>0</v>
      </c>
      <c r="J26" s="463">
        <v>0</v>
      </c>
      <c r="M26" s="488">
        <v>9125.0323370361839</v>
      </c>
      <c r="N26" s="488">
        <v>9125.0323370361839</v>
      </c>
      <c r="P26" s="267"/>
    </row>
    <row r="27" spans="2:17" ht="24" customHeight="1">
      <c r="B27" s="331" t="s">
        <v>55</v>
      </c>
      <c r="C27" s="462">
        <v>8202.4719999999998</v>
      </c>
      <c r="D27" s="462">
        <v>8202</v>
      </c>
      <c r="E27" s="462">
        <v>0.47199999999975262</v>
      </c>
      <c r="F27" s="463">
        <v>5.7543628311044846E-3</v>
      </c>
      <c r="G27" s="462">
        <v>13621.726999999999</v>
      </c>
      <c r="H27" s="462">
        <v>13595</v>
      </c>
      <c r="I27" s="462">
        <v>26.726999999998952</v>
      </c>
      <c r="J27" s="463">
        <v>0.19620860115607186</v>
      </c>
      <c r="M27" s="488">
        <v>10689.829773680996</v>
      </c>
      <c r="N27" s="488">
        <v>10688.27</v>
      </c>
      <c r="P27" s="267"/>
    </row>
    <row r="28" spans="2:17" ht="24" customHeight="1">
      <c r="B28" s="331" t="s">
        <v>56</v>
      </c>
      <c r="C28" s="462">
        <v>10829</v>
      </c>
      <c r="D28" s="462">
        <v>10829</v>
      </c>
      <c r="E28" s="462">
        <v>0</v>
      </c>
      <c r="F28" s="463">
        <v>0</v>
      </c>
      <c r="G28" s="462">
        <v>14158</v>
      </c>
      <c r="H28" s="462">
        <v>14158</v>
      </c>
      <c r="I28" s="462">
        <v>0</v>
      </c>
      <c r="J28" s="463">
        <v>0</v>
      </c>
      <c r="M28" s="488">
        <v>3933.5832735979848</v>
      </c>
      <c r="N28" s="488">
        <v>3933.5832735979848</v>
      </c>
      <c r="P28" s="267"/>
    </row>
    <row r="29" spans="2:17" ht="24" customHeight="1">
      <c r="B29" s="331" t="s">
        <v>57</v>
      </c>
      <c r="C29" s="462">
        <v>3882.3712000000005</v>
      </c>
      <c r="D29" s="462">
        <v>3879.6622000000002</v>
      </c>
      <c r="E29" s="462">
        <v>2.7090000000002874</v>
      </c>
      <c r="F29" s="463">
        <v>6.9776944564195378E-2</v>
      </c>
      <c r="G29" s="462">
        <v>4261.2330000000002</v>
      </c>
      <c r="H29" s="462">
        <v>4235.03</v>
      </c>
      <c r="I29" s="462">
        <v>26.203000000000429</v>
      </c>
      <c r="J29" s="463">
        <v>0.61491591752904451</v>
      </c>
      <c r="M29" s="488">
        <v>14981.329664781881</v>
      </c>
      <c r="N29" s="488">
        <v>14981.329664781881</v>
      </c>
      <c r="P29" s="267"/>
    </row>
    <row r="30" spans="2:17" ht="24" customHeight="1">
      <c r="B30" s="331" t="s">
        <v>58</v>
      </c>
      <c r="C30" s="462">
        <v>15695.6224</v>
      </c>
      <c r="D30" s="462">
        <v>15695.6224</v>
      </c>
      <c r="E30" s="462">
        <v>0</v>
      </c>
      <c r="F30" s="463">
        <v>0</v>
      </c>
      <c r="G30" s="462">
        <v>16540.8717</v>
      </c>
      <c r="H30" s="462">
        <v>16519.399700000002</v>
      </c>
      <c r="I30" s="462">
        <v>21.471999999997934</v>
      </c>
      <c r="J30" s="463">
        <v>0.12981178011312386</v>
      </c>
      <c r="M30" s="488">
        <v>408.48831200000001</v>
      </c>
      <c r="N30" s="488">
        <v>388</v>
      </c>
      <c r="P30" s="267"/>
    </row>
    <row r="31" spans="2:17" ht="24" customHeight="1">
      <c r="B31" s="331" t="s">
        <v>59</v>
      </c>
      <c r="C31" s="462">
        <v>457.87418600000007</v>
      </c>
      <c r="D31" s="462">
        <v>457.44018599999998</v>
      </c>
      <c r="E31" s="462">
        <v>0.43400000000008276</v>
      </c>
      <c r="F31" s="964">
        <v>9.4785863293914266E-2</v>
      </c>
      <c r="G31" s="462">
        <v>465.46551499999998</v>
      </c>
      <c r="H31" s="462">
        <v>465.46551499999998</v>
      </c>
      <c r="I31" s="462">
        <v>0</v>
      </c>
      <c r="J31" s="964">
        <v>0</v>
      </c>
      <c r="M31" s="488">
        <v>8</v>
      </c>
      <c r="N31" s="488">
        <v>8</v>
      </c>
      <c r="P31" s="267"/>
    </row>
    <row r="32" spans="2:17" ht="34.5" customHeight="1" thickBot="1">
      <c r="B32" s="336" t="s">
        <v>1749</v>
      </c>
      <c r="C32" s="462">
        <v>10.62</v>
      </c>
      <c r="D32" s="462">
        <v>10.62</v>
      </c>
      <c r="E32" s="462">
        <v>0</v>
      </c>
      <c r="F32" s="964">
        <v>0</v>
      </c>
      <c r="G32" s="462">
        <v>10.62</v>
      </c>
      <c r="H32" s="462">
        <v>10.62</v>
      </c>
      <c r="I32" s="462">
        <v>0</v>
      </c>
      <c r="J32" s="964">
        <v>0</v>
      </c>
      <c r="M32" s="490">
        <v>45946.05999999999</v>
      </c>
      <c r="N32" s="491">
        <v>45684</v>
      </c>
      <c r="P32" s="267"/>
    </row>
    <row r="33" spans="2:16" ht="24" customHeight="1" thickTop="1" thickBot="1">
      <c r="B33" s="337" t="s">
        <v>60</v>
      </c>
      <c r="C33" s="494">
        <v>48028.78</v>
      </c>
      <c r="D33" s="494">
        <v>47784</v>
      </c>
      <c r="E33" s="494">
        <v>244.77999999999884</v>
      </c>
      <c r="F33" s="495">
        <v>0.50965275403622334</v>
      </c>
      <c r="G33" s="494">
        <v>58430</v>
      </c>
      <c r="H33" s="494">
        <v>58430</v>
      </c>
      <c r="I33" s="494">
        <v>0</v>
      </c>
      <c r="J33" s="495">
        <v>0</v>
      </c>
      <c r="M33" s="488">
        <v>4594.9344000000001</v>
      </c>
      <c r="N33" s="488">
        <v>4594.9344000000001</v>
      </c>
      <c r="P33" s="267"/>
    </row>
    <row r="34" spans="2:16" ht="24" customHeight="1" thickTop="1">
      <c r="B34" s="331" t="s">
        <v>61</v>
      </c>
      <c r="C34" s="462">
        <v>5926.5274654958803</v>
      </c>
      <c r="D34" s="462">
        <v>5919.2763519647224</v>
      </c>
      <c r="E34" s="462">
        <v>7.2511135311578983</v>
      </c>
      <c r="F34" s="463">
        <v>0.12235012110166925</v>
      </c>
      <c r="G34" s="462">
        <v>6010.5276842646754</v>
      </c>
      <c r="H34" s="462">
        <v>5919.2763519647224</v>
      </c>
      <c r="I34" s="462">
        <v>91.251332299952992</v>
      </c>
      <c r="J34" s="463">
        <v>1.5181916978578336</v>
      </c>
      <c r="M34" s="488">
        <v>2799.1509571090442</v>
      </c>
      <c r="N34" s="488">
        <v>2760.1509571090442</v>
      </c>
      <c r="P34" s="267"/>
    </row>
    <row r="35" spans="2:16" ht="24" customHeight="1">
      <c r="B35" s="331" t="s">
        <v>1750</v>
      </c>
      <c r="C35" s="462">
        <v>2964.5659639128021</v>
      </c>
      <c r="D35" s="462">
        <v>2964.5659639128021</v>
      </c>
      <c r="E35" s="462">
        <v>0</v>
      </c>
      <c r="F35" s="463">
        <v>0</v>
      </c>
      <c r="G35" s="462">
        <v>3086.0753438776192</v>
      </c>
      <c r="H35" s="462">
        <v>3084.7257763504663</v>
      </c>
      <c r="I35" s="462">
        <v>1.3495675271528853</v>
      </c>
      <c r="J35" s="463">
        <v>4.3730867745347034E-2</v>
      </c>
      <c r="M35" s="488">
        <v>1221.3</v>
      </c>
      <c r="N35" s="488">
        <v>1221.3</v>
      </c>
      <c r="P35" s="267"/>
    </row>
    <row r="36" spans="2:16" ht="24" customHeight="1">
      <c r="B36" s="331" t="s">
        <v>62</v>
      </c>
      <c r="C36" s="462">
        <v>1565.717007562929</v>
      </c>
      <c r="D36" s="462">
        <v>1556.6969560757946</v>
      </c>
      <c r="E36" s="462">
        <v>9.020051487134424</v>
      </c>
      <c r="F36" s="463">
        <v>0.5760971774314646</v>
      </c>
      <c r="G36" s="462">
        <v>1719.0947481397789</v>
      </c>
      <c r="H36" s="462">
        <v>1581.9091856600369</v>
      </c>
      <c r="I36" s="462">
        <v>137.18556247974198</v>
      </c>
      <c r="J36" s="463">
        <v>7.9801047980740778</v>
      </c>
      <c r="M36" s="488">
        <v>4348.29</v>
      </c>
      <c r="N36" s="488">
        <v>4348.29</v>
      </c>
      <c r="P36" s="267"/>
    </row>
    <row r="37" spans="2:16" ht="26.25" customHeight="1">
      <c r="B37" s="332" t="s">
        <v>63</v>
      </c>
      <c r="C37" s="462">
        <v>5642.8844886833331</v>
      </c>
      <c r="D37" s="462">
        <v>5642.8844886833331</v>
      </c>
      <c r="E37" s="462">
        <v>0</v>
      </c>
      <c r="F37" s="463">
        <v>0</v>
      </c>
      <c r="G37" s="462">
        <v>5642.8844886833331</v>
      </c>
      <c r="H37" s="462">
        <v>5642.8844886833331</v>
      </c>
      <c r="I37" s="462">
        <v>0</v>
      </c>
      <c r="J37" s="463">
        <v>0</v>
      </c>
      <c r="M37" s="488">
        <v>8906</v>
      </c>
      <c r="N37" s="488">
        <v>8899</v>
      </c>
      <c r="P37" s="267"/>
    </row>
    <row r="38" spans="2:16" ht="24" customHeight="1">
      <c r="B38" s="332" t="s">
        <v>64</v>
      </c>
      <c r="C38" s="462">
        <v>8696.1111572549053</v>
      </c>
      <c r="D38" s="462">
        <v>8683.953622183848</v>
      </c>
      <c r="E38" s="462">
        <v>12.157535071057282</v>
      </c>
      <c r="F38" s="463">
        <v>0.13980427401637585</v>
      </c>
      <c r="G38" s="462">
        <v>9089.124217480663</v>
      </c>
      <c r="H38" s="462">
        <v>9086.7389485066797</v>
      </c>
      <c r="I38" s="462">
        <v>2.3852689739833295</v>
      </c>
      <c r="J38" s="463">
        <v>2.6243111183317968E-2</v>
      </c>
      <c r="M38" s="488">
        <v>90</v>
      </c>
      <c r="N38" s="488">
        <v>90</v>
      </c>
      <c r="P38" s="267"/>
    </row>
    <row r="39" spans="2:16" ht="33" customHeight="1">
      <c r="B39" s="336" t="s">
        <v>65</v>
      </c>
      <c r="C39" s="462">
        <v>97.589113999999995</v>
      </c>
      <c r="D39" s="462">
        <v>97.589113999999995</v>
      </c>
      <c r="E39" s="462">
        <v>0</v>
      </c>
      <c r="F39" s="964">
        <v>0</v>
      </c>
      <c r="G39" s="462">
        <v>105.308136</v>
      </c>
      <c r="H39" s="462">
        <v>105.308136</v>
      </c>
      <c r="I39" s="462">
        <v>0</v>
      </c>
      <c r="J39" s="964">
        <v>0</v>
      </c>
      <c r="M39" s="488">
        <v>58</v>
      </c>
      <c r="N39" s="488">
        <v>54</v>
      </c>
      <c r="P39" s="267"/>
    </row>
    <row r="40" spans="2:16" ht="30.75" customHeight="1" thickBot="1">
      <c r="B40" s="336" t="s">
        <v>1751</v>
      </c>
      <c r="C40" s="462">
        <v>58</v>
      </c>
      <c r="D40" s="462">
        <v>54</v>
      </c>
      <c r="E40" s="462">
        <v>4</v>
      </c>
      <c r="F40" s="964">
        <v>6.8965517241379306</v>
      </c>
      <c r="G40" s="462">
        <v>58</v>
      </c>
      <c r="H40" s="462">
        <v>54</v>
      </c>
      <c r="I40" s="462">
        <v>4</v>
      </c>
      <c r="J40" s="964">
        <v>6.8965517241379306</v>
      </c>
      <c r="M40" s="490">
        <v>21320.073162241792</v>
      </c>
      <c r="N40" s="491">
        <v>21275.412968067034</v>
      </c>
      <c r="P40" s="267"/>
    </row>
    <row r="41" spans="2:16" ht="27.75" customHeight="1" thickTop="1" thickBot="1">
      <c r="B41" s="337" t="s">
        <v>1996</v>
      </c>
      <c r="C41" s="494">
        <v>24198.0497155462</v>
      </c>
      <c r="D41" s="494">
        <v>24190.685879979297</v>
      </c>
      <c r="E41" s="494">
        <v>7.3638355669027078</v>
      </c>
      <c r="F41" s="495">
        <v>3.0431525075228529E-2</v>
      </c>
      <c r="G41" s="494">
        <v>24404.886328967357</v>
      </c>
      <c r="H41" s="494">
        <v>24404.886328967357</v>
      </c>
      <c r="I41" s="494">
        <v>0</v>
      </c>
      <c r="J41" s="495">
        <v>0</v>
      </c>
      <c r="M41" s="488">
        <v>130.375</v>
      </c>
      <c r="N41" s="488">
        <v>125</v>
      </c>
      <c r="P41" s="267"/>
    </row>
    <row r="42" spans="2:16" ht="24" customHeight="1" thickTop="1">
      <c r="B42" s="331" t="s">
        <v>67</v>
      </c>
      <c r="C42" s="462">
        <v>155.03899999999999</v>
      </c>
      <c r="D42" s="462">
        <v>138</v>
      </c>
      <c r="E42" s="462">
        <v>17.038999999999987</v>
      </c>
      <c r="F42" s="463">
        <v>10.990137965286147</v>
      </c>
      <c r="G42" s="462">
        <v>173.61700000000002</v>
      </c>
      <c r="H42" s="462">
        <v>142</v>
      </c>
      <c r="I42" s="462">
        <v>31.617000000000019</v>
      </c>
      <c r="J42" s="463">
        <v>18.210774290536076</v>
      </c>
      <c r="M42" s="488">
        <v>1532.509</v>
      </c>
      <c r="N42" s="488">
        <v>1503</v>
      </c>
      <c r="P42" s="267"/>
    </row>
    <row r="43" spans="2:16" ht="24" customHeight="1">
      <c r="B43" s="331" t="s">
        <v>68</v>
      </c>
      <c r="C43" s="462">
        <v>1951.377</v>
      </c>
      <c r="D43" s="462">
        <v>1871</v>
      </c>
      <c r="E43" s="462">
        <v>80.376999999999953</v>
      </c>
      <c r="F43" s="463">
        <v>4.118988796116791</v>
      </c>
      <c r="G43" s="462">
        <v>1951.377</v>
      </c>
      <c r="H43" s="462">
        <v>1871</v>
      </c>
      <c r="I43" s="462">
        <v>80.376999999999953</v>
      </c>
      <c r="J43" s="463">
        <v>4.118988796116791</v>
      </c>
      <c r="M43" s="488"/>
      <c r="N43" s="488"/>
      <c r="P43" s="267"/>
    </row>
    <row r="44" spans="2:16" ht="24" customHeight="1">
      <c r="B44" s="331" t="s">
        <v>69</v>
      </c>
      <c r="C44" s="462">
        <v>207.876</v>
      </c>
      <c r="D44" s="462">
        <v>206</v>
      </c>
      <c r="E44" s="462">
        <v>1.8760000000000048</v>
      </c>
      <c r="F44" s="463">
        <v>0.90246108256845647</v>
      </c>
      <c r="G44" s="462">
        <v>208.43600000000001</v>
      </c>
      <c r="H44" s="462">
        <v>208</v>
      </c>
      <c r="I44" s="462">
        <v>0.43600000000000705</v>
      </c>
      <c r="J44" s="463">
        <v>0.20917691761500271</v>
      </c>
      <c r="M44" s="488"/>
      <c r="N44" s="488"/>
      <c r="P44" s="267"/>
    </row>
    <row r="45" spans="2:16" ht="24" customHeight="1">
      <c r="B45" s="331" t="s">
        <v>70</v>
      </c>
      <c r="C45" s="462">
        <v>329</v>
      </c>
      <c r="D45" s="462">
        <v>329</v>
      </c>
      <c r="E45" s="462">
        <v>0</v>
      </c>
      <c r="F45" s="463">
        <v>0</v>
      </c>
      <c r="G45" s="462">
        <v>357</v>
      </c>
      <c r="H45" s="462">
        <v>357</v>
      </c>
      <c r="I45" s="462">
        <v>0</v>
      </c>
      <c r="J45" s="463">
        <v>0</v>
      </c>
      <c r="M45" s="488"/>
      <c r="N45" s="488"/>
      <c r="P45" s="267"/>
    </row>
    <row r="46" spans="2:16" ht="24" customHeight="1">
      <c r="B46" s="331" t="s">
        <v>71</v>
      </c>
      <c r="C46" s="462">
        <v>107.06399999999999</v>
      </c>
      <c r="D46" s="462">
        <v>107</v>
      </c>
      <c r="E46" s="462">
        <v>6.3999999999992951E-2</v>
      </c>
      <c r="F46" s="463">
        <v>5.9777329447800343E-2</v>
      </c>
      <c r="G46" s="462">
        <v>111</v>
      </c>
      <c r="H46" s="462">
        <v>111</v>
      </c>
      <c r="I46" s="462">
        <v>0</v>
      </c>
      <c r="J46" s="463">
        <v>0</v>
      </c>
      <c r="M46" s="488"/>
      <c r="N46" s="488"/>
      <c r="P46" s="267"/>
    </row>
    <row r="47" spans="2:16" ht="24" customHeight="1">
      <c r="B47" s="331" t="s">
        <v>72</v>
      </c>
      <c r="C47" s="462">
        <v>150.31399999999999</v>
      </c>
      <c r="D47" s="462">
        <v>143</v>
      </c>
      <c r="E47" s="462">
        <v>7.313999999999993</v>
      </c>
      <c r="F47" s="463">
        <v>4.8658142288808719</v>
      </c>
      <c r="G47" s="462">
        <v>153.434</v>
      </c>
      <c r="H47" s="462">
        <v>148</v>
      </c>
      <c r="I47" s="462">
        <v>5.4339999999999975</v>
      </c>
      <c r="J47" s="463">
        <v>3.5415879140216626</v>
      </c>
      <c r="M47" s="488"/>
      <c r="N47" s="488"/>
      <c r="P47" s="267"/>
    </row>
    <row r="48" spans="2:16" ht="41.25" customHeight="1" thickBot="1">
      <c r="B48" s="331" t="s">
        <v>1752</v>
      </c>
      <c r="C48" s="462">
        <v>307.28699999999998</v>
      </c>
      <c r="D48" s="462">
        <v>306</v>
      </c>
      <c r="E48" s="462">
        <v>1.2869999999999777</v>
      </c>
      <c r="F48" s="463">
        <v>0.41882669946986945</v>
      </c>
      <c r="G48" s="462">
        <v>307.28699999999998</v>
      </c>
      <c r="H48" s="462">
        <v>306</v>
      </c>
      <c r="I48" s="462">
        <v>1.2869999999999777</v>
      </c>
      <c r="J48" s="463">
        <v>0.41882669946986945</v>
      </c>
      <c r="M48" s="490"/>
      <c r="N48" s="491"/>
      <c r="P48" s="267"/>
    </row>
    <row r="49" spans="2:16" ht="32.25" customHeight="1" thickTop="1" thickBot="1">
      <c r="B49" s="337" t="s">
        <v>1997</v>
      </c>
      <c r="C49" s="494">
        <v>3043</v>
      </c>
      <c r="D49" s="494">
        <v>2987</v>
      </c>
      <c r="E49" s="494">
        <v>56</v>
      </c>
      <c r="F49" s="495">
        <v>1.8402891883010186</v>
      </c>
      <c r="G49" s="494">
        <v>3043</v>
      </c>
      <c r="H49" s="494">
        <v>2987</v>
      </c>
      <c r="I49" s="494">
        <v>56</v>
      </c>
      <c r="J49" s="495">
        <v>1.8402891883010186</v>
      </c>
      <c r="M49" s="490"/>
      <c r="N49" s="491"/>
      <c r="P49" s="267"/>
    </row>
    <row r="50" spans="2:16" ht="21.75" customHeight="1" thickTop="1" thickBot="1">
      <c r="B50" s="337" t="s">
        <v>73</v>
      </c>
      <c r="C50" s="494">
        <v>169132.3443288175</v>
      </c>
      <c r="D50" s="494">
        <v>168780.87353515625</v>
      </c>
      <c r="E50" s="470">
        <v>351.47079366125399</v>
      </c>
      <c r="F50" s="495">
        <v>0.20780814873466452</v>
      </c>
      <c r="G50" s="468">
        <v>183036.54675292969</v>
      </c>
      <c r="H50" s="470">
        <v>182379.07446289062</v>
      </c>
      <c r="I50" s="470">
        <v>657.4722900390625</v>
      </c>
      <c r="J50" s="495">
        <v>0.3592027393996598</v>
      </c>
    </row>
    <row r="51" spans="2:16" ht="20.25" customHeight="1" thickTop="1">
      <c r="B51" s="1894" t="s">
        <v>1998</v>
      </c>
      <c r="C51" s="1895"/>
      <c r="D51" s="1895"/>
      <c r="E51" s="1895"/>
      <c r="F51" s="1895"/>
      <c r="G51" s="1895"/>
      <c r="H51" s="1895"/>
      <c r="I51" s="1895"/>
      <c r="J51" s="1896"/>
    </row>
    <row r="52" spans="2:16" ht="18" customHeight="1">
      <c r="B52" s="1063" t="s">
        <v>1999</v>
      </c>
      <c r="C52" s="1064"/>
      <c r="D52" s="1064"/>
      <c r="E52" s="1064"/>
      <c r="F52" s="1064"/>
      <c r="G52" s="1064"/>
      <c r="H52" s="1064"/>
      <c r="I52" s="1064"/>
      <c r="J52" s="1065"/>
    </row>
    <row r="53" spans="2:16" ht="18" customHeight="1">
      <c r="B53" s="1500" t="s">
        <v>2000</v>
      </c>
      <c r="C53" s="1501"/>
      <c r="D53" s="1501"/>
      <c r="E53" s="1502"/>
      <c r="F53" s="1502"/>
      <c r="G53" s="1502"/>
      <c r="H53" s="1503"/>
      <c r="I53" s="1500"/>
      <c r="J53" s="1500"/>
    </row>
    <row r="54" spans="2:16" ht="18" customHeight="1">
      <c r="C54" s="335"/>
      <c r="D54" s="335"/>
      <c r="E54" s="335"/>
      <c r="F54" s="335"/>
      <c r="G54" s="335"/>
      <c r="H54" s="335"/>
    </row>
    <row r="55" spans="2:16" ht="18" customHeight="1">
      <c r="C55" s="335"/>
      <c r="D55" s="335"/>
      <c r="E55" s="335"/>
      <c r="F55" s="335"/>
      <c r="G55" s="335"/>
      <c r="H55" s="195"/>
      <c r="K55" s="1499">
        <v>26</v>
      </c>
    </row>
    <row r="56" spans="2:16" ht="18" customHeight="1">
      <c r="C56" s="497"/>
      <c r="D56" s="335"/>
      <c r="E56" s="1886"/>
      <c r="F56" s="1886"/>
      <c r="G56" s="1886"/>
    </row>
    <row r="57" spans="2:16" ht="18" customHeight="1">
      <c r="C57" s="498"/>
      <c r="D57" s="498"/>
      <c r="E57" s="498"/>
      <c r="F57" s="498"/>
      <c r="G57" s="498"/>
    </row>
    <row r="433" ht="23.25" customHeight="1"/>
  </sheetData>
  <mergeCells count="5">
    <mergeCell ref="E56:G56"/>
    <mergeCell ref="M3:P3"/>
    <mergeCell ref="O18:Q18"/>
    <mergeCell ref="B51:J51"/>
    <mergeCell ref="B2:J2"/>
  </mergeCells>
  <conditionalFormatting sqref="I7:I15 I42:I47 I34:I39 I26:I31 I18:I23">
    <cfRule type="containsText" dxfId="13" priority="16" stopIfTrue="1" operator="containsText" text="Error">
      <formula>NOT(ISERROR(SEARCH("Error",I7)))</formula>
    </cfRule>
  </conditionalFormatting>
  <conditionalFormatting sqref="E7:E15 E42:E47 E34:E39 E26:E31 E18:E23">
    <cfRule type="containsText" dxfId="12" priority="15" stopIfTrue="1" operator="containsText" text="Error">
      <formula>NOT(ISERROR(SEARCH("Error",E7)))</formula>
    </cfRule>
  </conditionalFormatting>
  <conditionalFormatting sqref="I50">
    <cfRule type="containsText" dxfId="11" priority="14" stopIfTrue="1" operator="containsText" text="Error">
      <formula>NOT(ISERROR(SEARCH("Error",I50)))</formula>
    </cfRule>
  </conditionalFormatting>
  <conditionalFormatting sqref="E50">
    <cfRule type="containsText" dxfId="10" priority="13" stopIfTrue="1" operator="containsText" text="Error">
      <formula>NOT(ISERROR(SEARCH("Error",E50)))</formula>
    </cfRule>
  </conditionalFormatting>
  <conditionalFormatting sqref="I48">
    <cfRule type="containsText" dxfId="9" priority="12" stopIfTrue="1" operator="containsText" text="Error">
      <formula>NOT(ISERROR(SEARCH("Error",I48)))</formula>
    </cfRule>
  </conditionalFormatting>
  <conditionalFormatting sqref="E48">
    <cfRule type="containsText" dxfId="8" priority="11" stopIfTrue="1" operator="containsText" text="Error">
      <formula>NOT(ISERROR(SEARCH("Error",E48)))</formula>
    </cfRule>
  </conditionalFormatting>
  <conditionalFormatting sqref="I40">
    <cfRule type="containsText" dxfId="7" priority="8" stopIfTrue="1" operator="containsText" text="Error">
      <formula>NOT(ISERROR(SEARCH("Error",I40)))</formula>
    </cfRule>
  </conditionalFormatting>
  <conditionalFormatting sqref="E40">
    <cfRule type="containsText" dxfId="6" priority="7" stopIfTrue="1" operator="containsText" text="Error">
      <formula>NOT(ISERROR(SEARCH("Error",E40)))</formula>
    </cfRule>
  </conditionalFormatting>
  <conditionalFormatting sqref="I32">
    <cfRule type="containsText" dxfId="5" priority="6" stopIfTrue="1" operator="containsText" text="Error">
      <formula>NOT(ISERROR(SEARCH("Error",I32)))</formula>
    </cfRule>
  </conditionalFormatting>
  <conditionalFormatting sqref="E32">
    <cfRule type="containsText" dxfId="4" priority="5" stopIfTrue="1" operator="containsText" text="Error">
      <formula>NOT(ISERROR(SEARCH("Error",E32)))</formula>
    </cfRule>
  </conditionalFormatting>
  <conditionalFormatting sqref="I24">
    <cfRule type="containsText" dxfId="3" priority="4" stopIfTrue="1" operator="containsText" text="Error">
      <formula>NOT(ISERROR(SEARCH("Error",I24)))</formula>
    </cfRule>
  </conditionalFormatting>
  <conditionalFormatting sqref="E24">
    <cfRule type="containsText" dxfId="2" priority="3" stopIfTrue="1" operator="containsText" text="Error">
      <formula>NOT(ISERROR(SEARCH("Error",E24)))</formula>
    </cfRule>
  </conditionalFormatting>
  <conditionalFormatting sqref="I16">
    <cfRule type="containsText" dxfId="1" priority="2" stopIfTrue="1" operator="containsText" text="Error">
      <formula>NOT(ISERROR(SEARCH("Error",I16)))</formula>
    </cfRule>
  </conditionalFormatting>
  <conditionalFormatting sqref="E16">
    <cfRule type="containsText" dxfId="0" priority="1" stopIfTrue="1" operator="containsText" text="Error">
      <formula>NOT(ISERROR(SEARCH("Error",E16)))</formula>
    </cfRule>
  </conditionalFormatting>
  <printOptions horizontalCentered="1" verticalCentered="1"/>
  <pageMargins left="0.75" right="0.75" top="1" bottom="1" header="0.5" footer="0.5"/>
  <pageSetup scale="43"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002060"/>
  </sheetPr>
  <dimension ref="A1:D435"/>
  <sheetViews>
    <sheetView view="pageBreakPreview" zoomScale="64" zoomScaleNormal="100" zoomScaleSheetLayoutView="64" workbookViewId="0">
      <selection activeCell="J28" sqref="J28"/>
    </sheetView>
  </sheetViews>
  <sheetFormatPr defaultRowHeight="15"/>
  <cols>
    <col min="1" max="1" width="45.28515625" style="500" customWidth="1"/>
    <col min="2" max="2" width="73.7109375" style="500" customWidth="1"/>
    <col min="3" max="3" width="75.42578125" style="500" customWidth="1"/>
    <col min="4" max="4" width="51.7109375" style="500" hidden="1" customWidth="1"/>
    <col min="5" max="256" width="9.140625" style="500"/>
    <col min="257" max="257" width="45.28515625" style="500" customWidth="1"/>
    <col min="258" max="258" width="73.7109375" style="500" customWidth="1"/>
    <col min="259" max="259" width="75.42578125" style="500" customWidth="1"/>
    <col min="260" max="260" width="0" style="500" hidden="1" customWidth="1"/>
    <col min="261" max="512" width="9.140625" style="500"/>
    <col min="513" max="513" width="45.28515625" style="500" customWidth="1"/>
    <col min="514" max="514" width="73.7109375" style="500" customWidth="1"/>
    <col min="515" max="515" width="75.42578125" style="500" customWidth="1"/>
    <col min="516" max="516" width="0" style="500" hidden="1" customWidth="1"/>
    <col min="517" max="768" width="9.140625" style="500"/>
    <col min="769" max="769" width="45.28515625" style="500" customWidth="1"/>
    <col min="770" max="770" width="73.7109375" style="500" customWidth="1"/>
    <col min="771" max="771" width="75.42578125" style="500" customWidth="1"/>
    <col min="772" max="772" width="0" style="500" hidden="1" customWidth="1"/>
    <col min="773" max="1024" width="9.140625" style="500"/>
    <col min="1025" max="1025" width="45.28515625" style="500" customWidth="1"/>
    <col min="1026" max="1026" width="73.7109375" style="500" customWidth="1"/>
    <col min="1027" max="1027" width="75.42578125" style="500" customWidth="1"/>
    <col min="1028" max="1028" width="0" style="500" hidden="1" customWidth="1"/>
    <col min="1029" max="1280" width="9.140625" style="500"/>
    <col min="1281" max="1281" width="45.28515625" style="500" customWidth="1"/>
    <col min="1282" max="1282" width="73.7109375" style="500" customWidth="1"/>
    <col min="1283" max="1283" width="75.42578125" style="500" customWidth="1"/>
    <col min="1284" max="1284" width="0" style="500" hidden="1" customWidth="1"/>
    <col min="1285" max="1536" width="9.140625" style="500"/>
    <col min="1537" max="1537" width="45.28515625" style="500" customWidth="1"/>
    <col min="1538" max="1538" width="73.7109375" style="500" customWidth="1"/>
    <col min="1539" max="1539" width="75.42578125" style="500" customWidth="1"/>
    <col min="1540" max="1540" width="0" style="500" hidden="1" customWidth="1"/>
    <col min="1541" max="1792" width="9.140625" style="500"/>
    <col min="1793" max="1793" width="45.28515625" style="500" customWidth="1"/>
    <col min="1794" max="1794" width="73.7109375" style="500" customWidth="1"/>
    <col min="1795" max="1795" width="75.42578125" style="500" customWidth="1"/>
    <col min="1796" max="1796" width="0" style="500" hidden="1" customWidth="1"/>
    <col min="1797" max="2048" width="9.140625" style="500"/>
    <col min="2049" max="2049" width="45.28515625" style="500" customWidth="1"/>
    <col min="2050" max="2050" width="73.7109375" style="500" customWidth="1"/>
    <col min="2051" max="2051" width="75.42578125" style="500" customWidth="1"/>
    <col min="2052" max="2052" width="0" style="500" hidden="1" customWidth="1"/>
    <col min="2053" max="2304" width="9.140625" style="500"/>
    <col min="2305" max="2305" width="45.28515625" style="500" customWidth="1"/>
    <col min="2306" max="2306" width="73.7109375" style="500" customWidth="1"/>
    <col min="2307" max="2307" width="75.42578125" style="500" customWidth="1"/>
    <col min="2308" max="2308" width="0" style="500" hidden="1" customWidth="1"/>
    <col min="2309" max="2560" width="9.140625" style="500"/>
    <col min="2561" max="2561" width="45.28515625" style="500" customWidth="1"/>
    <col min="2562" max="2562" width="73.7109375" style="500" customWidth="1"/>
    <col min="2563" max="2563" width="75.42578125" style="500" customWidth="1"/>
    <col min="2564" max="2564" width="0" style="500" hidden="1" customWidth="1"/>
    <col min="2565" max="2816" width="9.140625" style="500"/>
    <col min="2817" max="2817" width="45.28515625" style="500" customWidth="1"/>
    <col min="2818" max="2818" width="73.7109375" style="500" customWidth="1"/>
    <col min="2819" max="2819" width="75.42578125" style="500" customWidth="1"/>
    <col min="2820" max="2820" width="0" style="500" hidden="1" customWidth="1"/>
    <col min="2821" max="3072" width="9.140625" style="500"/>
    <col min="3073" max="3073" width="45.28515625" style="500" customWidth="1"/>
    <col min="3074" max="3074" width="73.7109375" style="500" customWidth="1"/>
    <col min="3075" max="3075" width="75.42578125" style="500" customWidth="1"/>
    <col min="3076" max="3076" width="0" style="500" hidden="1" customWidth="1"/>
    <col min="3077" max="3328" width="9.140625" style="500"/>
    <col min="3329" max="3329" width="45.28515625" style="500" customWidth="1"/>
    <col min="3330" max="3330" width="73.7109375" style="500" customWidth="1"/>
    <col min="3331" max="3331" width="75.42578125" style="500" customWidth="1"/>
    <col min="3332" max="3332" width="0" style="500" hidden="1" customWidth="1"/>
    <col min="3333" max="3584" width="9.140625" style="500"/>
    <col min="3585" max="3585" width="45.28515625" style="500" customWidth="1"/>
    <col min="3586" max="3586" width="73.7109375" style="500" customWidth="1"/>
    <col min="3587" max="3587" width="75.42578125" style="500" customWidth="1"/>
    <col min="3588" max="3588" width="0" style="500" hidden="1" customWidth="1"/>
    <col min="3589" max="3840" width="9.140625" style="500"/>
    <col min="3841" max="3841" width="45.28515625" style="500" customWidth="1"/>
    <col min="3842" max="3842" width="73.7109375" style="500" customWidth="1"/>
    <col min="3843" max="3843" width="75.42578125" style="500" customWidth="1"/>
    <col min="3844" max="3844" width="0" style="500" hidden="1" customWidth="1"/>
    <col min="3845" max="4096" width="9.140625" style="500"/>
    <col min="4097" max="4097" width="45.28515625" style="500" customWidth="1"/>
    <col min="4098" max="4098" width="73.7109375" style="500" customWidth="1"/>
    <col min="4099" max="4099" width="75.42578125" style="500" customWidth="1"/>
    <col min="4100" max="4100" width="0" style="500" hidden="1" customWidth="1"/>
    <col min="4101" max="4352" width="9.140625" style="500"/>
    <col min="4353" max="4353" width="45.28515625" style="500" customWidth="1"/>
    <col min="4354" max="4354" width="73.7109375" style="500" customWidth="1"/>
    <col min="4355" max="4355" width="75.42578125" style="500" customWidth="1"/>
    <col min="4356" max="4356" width="0" style="500" hidden="1" customWidth="1"/>
    <col min="4357" max="4608" width="9.140625" style="500"/>
    <col min="4609" max="4609" width="45.28515625" style="500" customWidth="1"/>
    <col min="4610" max="4610" width="73.7109375" style="500" customWidth="1"/>
    <col min="4611" max="4611" width="75.42578125" style="500" customWidth="1"/>
    <col min="4612" max="4612" width="0" style="500" hidden="1" customWidth="1"/>
    <col min="4613" max="4864" width="9.140625" style="500"/>
    <col min="4865" max="4865" width="45.28515625" style="500" customWidth="1"/>
    <col min="4866" max="4866" width="73.7109375" style="500" customWidth="1"/>
    <col min="4867" max="4867" width="75.42578125" style="500" customWidth="1"/>
    <col min="4868" max="4868" width="0" style="500" hidden="1" customWidth="1"/>
    <col min="4869" max="5120" width="9.140625" style="500"/>
    <col min="5121" max="5121" width="45.28515625" style="500" customWidth="1"/>
    <col min="5122" max="5122" width="73.7109375" style="500" customWidth="1"/>
    <col min="5123" max="5123" width="75.42578125" style="500" customWidth="1"/>
    <col min="5124" max="5124" width="0" style="500" hidden="1" customWidth="1"/>
    <col min="5125" max="5376" width="9.140625" style="500"/>
    <col min="5377" max="5377" width="45.28515625" style="500" customWidth="1"/>
    <col min="5378" max="5378" width="73.7109375" style="500" customWidth="1"/>
    <col min="5379" max="5379" width="75.42578125" style="500" customWidth="1"/>
    <col min="5380" max="5380" width="0" style="500" hidden="1" customWidth="1"/>
    <col min="5381" max="5632" width="9.140625" style="500"/>
    <col min="5633" max="5633" width="45.28515625" style="500" customWidth="1"/>
    <col min="5634" max="5634" width="73.7109375" style="500" customWidth="1"/>
    <col min="5635" max="5635" width="75.42578125" style="500" customWidth="1"/>
    <col min="5636" max="5636" width="0" style="500" hidden="1" customWidth="1"/>
    <col min="5637" max="5888" width="9.140625" style="500"/>
    <col min="5889" max="5889" width="45.28515625" style="500" customWidth="1"/>
    <col min="5890" max="5890" width="73.7109375" style="500" customWidth="1"/>
    <col min="5891" max="5891" width="75.42578125" style="500" customWidth="1"/>
    <col min="5892" max="5892" width="0" style="500" hidden="1" customWidth="1"/>
    <col min="5893" max="6144" width="9.140625" style="500"/>
    <col min="6145" max="6145" width="45.28515625" style="500" customWidth="1"/>
    <col min="6146" max="6146" width="73.7109375" style="500" customWidth="1"/>
    <col min="6147" max="6147" width="75.42578125" style="500" customWidth="1"/>
    <col min="6148" max="6148" width="0" style="500" hidden="1" customWidth="1"/>
    <col min="6149" max="6400" width="9.140625" style="500"/>
    <col min="6401" max="6401" width="45.28515625" style="500" customWidth="1"/>
    <col min="6402" max="6402" width="73.7109375" style="500" customWidth="1"/>
    <col min="6403" max="6403" width="75.42578125" style="500" customWidth="1"/>
    <col min="6404" max="6404" width="0" style="500" hidden="1" customWidth="1"/>
    <col min="6405" max="6656" width="9.140625" style="500"/>
    <col min="6657" max="6657" width="45.28515625" style="500" customWidth="1"/>
    <col min="6658" max="6658" width="73.7109375" style="500" customWidth="1"/>
    <col min="6659" max="6659" width="75.42578125" style="500" customWidth="1"/>
    <col min="6660" max="6660" width="0" style="500" hidden="1" customWidth="1"/>
    <col min="6661" max="6912" width="9.140625" style="500"/>
    <col min="6913" max="6913" width="45.28515625" style="500" customWidth="1"/>
    <col min="6914" max="6914" width="73.7109375" style="500" customWidth="1"/>
    <col min="6915" max="6915" width="75.42578125" style="500" customWidth="1"/>
    <col min="6916" max="6916" width="0" style="500" hidden="1" customWidth="1"/>
    <col min="6917" max="7168" width="9.140625" style="500"/>
    <col min="7169" max="7169" width="45.28515625" style="500" customWidth="1"/>
    <col min="7170" max="7170" width="73.7109375" style="500" customWidth="1"/>
    <col min="7171" max="7171" width="75.42578125" style="500" customWidth="1"/>
    <col min="7172" max="7172" width="0" style="500" hidden="1" customWidth="1"/>
    <col min="7173" max="7424" width="9.140625" style="500"/>
    <col min="7425" max="7425" width="45.28515625" style="500" customWidth="1"/>
    <col min="7426" max="7426" width="73.7109375" style="500" customWidth="1"/>
    <col min="7427" max="7427" width="75.42578125" style="500" customWidth="1"/>
    <col min="7428" max="7428" width="0" style="500" hidden="1" customWidth="1"/>
    <col min="7429" max="7680" width="9.140625" style="500"/>
    <col min="7681" max="7681" width="45.28515625" style="500" customWidth="1"/>
    <col min="7682" max="7682" width="73.7109375" style="500" customWidth="1"/>
    <col min="7683" max="7683" width="75.42578125" style="500" customWidth="1"/>
    <col min="7684" max="7684" width="0" style="500" hidden="1" customWidth="1"/>
    <col min="7685" max="7936" width="9.140625" style="500"/>
    <col min="7937" max="7937" width="45.28515625" style="500" customWidth="1"/>
    <col min="7938" max="7938" width="73.7109375" style="500" customWidth="1"/>
    <col min="7939" max="7939" width="75.42578125" style="500" customWidth="1"/>
    <col min="7940" max="7940" width="0" style="500" hidden="1" customWidth="1"/>
    <col min="7941" max="8192" width="9.140625" style="500"/>
    <col min="8193" max="8193" width="45.28515625" style="500" customWidth="1"/>
    <col min="8194" max="8194" width="73.7109375" style="500" customWidth="1"/>
    <col min="8195" max="8195" width="75.42578125" style="500" customWidth="1"/>
    <col min="8196" max="8196" width="0" style="500" hidden="1" customWidth="1"/>
    <col min="8197" max="8448" width="9.140625" style="500"/>
    <col min="8449" max="8449" width="45.28515625" style="500" customWidth="1"/>
    <col min="8450" max="8450" width="73.7109375" style="500" customWidth="1"/>
    <col min="8451" max="8451" width="75.42578125" style="500" customWidth="1"/>
    <col min="8452" max="8452" width="0" style="500" hidden="1" customWidth="1"/>
    <col min="8453" max="8704" width="9.140625" style="500"/>
    <col min="8705" max="8705" width="45.28515625" style="500" customWidth="1"/>
    <col min="8706" max="8706" width="73.7109375" style="500" customWidth="1"/>
    <col min="8707" max="8707" width="75.42578125" style="500" customWidth="1"/>
    <col min="8708" max="8708" width="0" style="500" hidden="1" customWidth="1"/>
    <col min="8709" max="8960" width="9.140625" style="500"/>
    <col min="8961" max="8961" width="45.28515625" style="500" customWidth="1"/>
    <col min="8962" max="8962" width="73.7109375" style="500" customWidth="1"/>
    <col min="8963" max="8963" width="75.42578125" style="500" customWidth="1"/>
    <col min="8964" max="8964" width="0" style="500" hidden="1" customWidth="1"/>
    <col min="8965" max="9216" width="9.140625" style="500"/>
    <col min="9217" max="9217" width="45.28515625" style="500" customWidth="1"/>
    <col min="9218" max="9218" width="73.7109375" style="500" customWidth="1"/>
    <col min="9219" max="9219" width="75.42578125" style="500" customWidth="1"/>
    <col min="9220" max="9220" width="0" style="500" hidden="1" customWidth="1"/>
    <col min="9221" max="9472" width="9.140625" style="500"/>
    <col min="9473" max="9473" width="45.28515625" style="500" customWidth="1"/>
    <col min="9474" max="9474" width="73.7109375" style="500" customWidth="1"/>
    <col min="9475" max="9475" width="75.42578125" style="500" customWidth="1"/>
    <col min="9476" max="9476" width="0" style="500" hidden="1" customWidth="1"/>
    <col min="9477" max="9728" width="9.140625" style="500"/>
    <col min="9729" max="9729" width="45.28515625" style="500" customWidth="1"/>
    <col min="9730" max="9730" width="73.7109375" style="500" customWidth="1"/>
    <col min="9731" max="9731" width="75.42578125" style="500" customWidth="1"/>
    <col min="9732" max="9732" width="0" style="500" hidden="1" customWidth="1"/>
    <col min="9733" max="9984" width="9.140625" style="500"/>
    <col min="9985" max="9985" width="45.28515625" style="500" customWidth="1"/>
    <col min="9986" max="9986" width="73.7109375" style="500" customWidth="1"/>
    <col min="9987" max="9987" width="75.42578125" style="500" customWidth="1"/>
    <col min="9988" max="9988" width="0" style="500" hidden="1" customWidth="1"/>
    <col min="9989" max="10240" width="9.140625" style="500"/>
    <col min="10241" max="10241" width="45.28515625" style="500" customWidth="1"/>
    <col min="10242" max="10242" width="73.7109375" style="500" customWidth="1"/>
    <col min="10243" max="10243" width="75.42578125" style="500" customWidth="1"/>
    <col min="10244" max="10244" width="0" style="500" hidden="1" customWidth="1"/>
    <col min="10245" max="10496" width="9.140625" style="500"/>
    <col min="10497" max="10497" width="45.28515625" style="500" customWidth="1"/>
    <col min="10498" max="10498" width="73.7109375" style="500" customWidth="1"/>
    <col min="10499" max="10499" width="75.42578125" style="500" customWidth="1"/>
    <col min="10500" max="10500" width="0" style="500" hidden="1" customWidth="1"/>
    <col min="10501" max="10752" width="9.140625" style="500"/>
    <col min="10753" max="10753" width="45.28515625" style="500" customWidth="1"/>
    <col min="10754" max="10754" width="73.7109375" style="500" customWidth="1"/>
    <col min="10755" max="10755" width="75.42578125" style="500" customWidth="1"/>
    <col min="10756" max="10756" width="0" style="500" hidden="1" customWidth="1"/>
    <col min="10757" max="11008" width="9.140625" style="500"/>
    <col min="11009" max="11009" width="45.28515625" style="500" customWidth="1"/>
    <col min="11010" max="11010" width="73.7109375" style="500" customWidth="1"/>
    <col min="11011" max="11011" width="75.42578125" style="500" customWidth="1"/>
    <col min="11012" max="11012" width="0" style="500" hidden="1" customWidth="1"/>
    <col min="11013" max="11264" width="9.140625" style="500"/>
    <col min="11265" max="11265" width="45.28515625" style="500" customWidth="1"/>
    <col min="11266" max="11266" width="73.7109375" style="500" customWidth="1"/>
    <col min="11267" max="11267" width="75.42578125" style="500" customWidth="1"/>
    <col min="11268" max="11268" width="0" style="500" hidden="1" customWidth="1"/>
    <col min="11269" max="11520" width="9.140625" style="500"/>
    <col min="11521" max="11521" width="45.28515625" style="500" customWidth="1"/>
    <col min="11522" max="11522" width="73.7109375" style="500" customWidth="1"/>
    <col min="11523" max="11523" width="75.42578125" style="500" customWidth="1"/>
    <col min="11524" max="11524" width="0" style="500" hidden="1" customWidth="1"/>
    <col min="11525" max="11776" width="9.140625" style="500"/>
    <col min="11777" max="11777" width="45.28515625" style="500" customWidth="1"/>
    <col min="11778" max="11778" width="73.7109375" style="500" customWidth="1"/>
    <col min="11779" max="11779" width="75.42578125" style="500" customWidth="1"/>
    <col min="11780" max="11780" width="0" style="500" hidden="1" customWidth="1"/>
    <col min="11781" max="12032" width="9.140625" style="500"/>
    <col min="12033" max="12033" width="45.28515625" style="500" customWidth="1"/>
    <col min="12034" max="12034" width="73.7109375" style="500" customWidth="1"/>
    <col min="12035" max="12035" width="75.42578125" style="500" customWidth="1"/>
    <col min="12036" max="12036" width="0" style="500" hidden="1" customWidth="1"/>
    <col min="12037" max="12288" width="9.140625" style="500"/>
    <col min="12289" max="12289" width="45.28515625" style="500" customWidth="1"/>
    <col min="12290" max="12290" width="73.7109375" style="500" customWidth="1"/>
    <col min="12291" max="12291" width="75.42578125" style="500" customWidth="1"/>
    <col min="12292" max="12292" width="0" style="500" hidden="1" customWidth="1"/>
    <col min="12293" max="12544" width="9.140625" style="500"/>
    <col min="12545" max="12545" width="45.28515625" style="500" customWidth="1"/>
    <col min="12546" max="12546" width="73.7109375" style="500" customWidth="1"/>
    <col min="12547" max="12547" width="75.42578125" style="500" customWidth="1"/>
    <col min="12548" max="12548" width="0" style="500" hidden="1" customWidth="1"/>
    <col min="12549" max="12800" width="9.140625" style="500"/>
    <col min="12801" max="12801" width="45.28515625" style="500" customWidth="1"/>
    <col min="12802" max="12802" width="73.7109375" style="500" customWidth="1"/>
    <col min="12803" max="12803" width="75.42578125" style="500" customWidth="1"/>
    <col min="12804" max="12804" width="0" style="500" hidden="1" customWidth="1"/>
    <col min="12805" max="13056" width="9.140625" style="500"/>
    <col min="13057" max="13057" width="45.28515625" style="500" customWidth="1"/>
    <col min="13058" max="13058" width="73.7109375" style="500" customWidth="1"/>
    <col min="13059" max="13059" width="75.42578125" style="500" customWidth="1"/>
    <col min="13060" max="13060" width="0" style="500" hidden="1" customWidth="1"/>
    <col min="13061" max="13312" width="9.140625" style="500"/>
    <col min="13313" max="13313" width="45.28515625" style="500" customWidth="1"/>
    <col min="13314" max="13314" width="73.7109375" style="500" customWidth="1"/>
    <col min="13315" max="13315" width="75.42578125" style="500" customWidth="1"/>
    <col min="13316" max="13316" width="0" style="500" hidden="1" customWidth="1"/>
    <col min="13317" max="13568" width="9.140625" style="500"/>
    <col min="13569" max="13569" width="45.28515625" style="500" customWidth="1"/>
    <col min="13570" max="13570" width="73.7109375" style="500" customWidth="1"/>
    <col min="13571" max="13571" width="75.42578125" style="500" customWidth="1"/>
    <col min="13572" max="13572" width="0" style="500" hidden="1" customWidth="1"/>
    <col min="13573" max="13824" width="9.140625" style="500"/>
    <col min="13825" max="13825" width="45.28515625" style="500" customWidth="1"/>
    <col min="13826" max="13826" width="73.7109375" style="500" customWidth="1"/>
    <col min="13827" max="13827" width="75.42578125" style="500" customWidth="1"/>
    <col min="13828" max="13828" width="0" style="500" hidden="1" customWidth="1"/>
    <col min="13829" max="14080" width="9.140625" style="500"/>
    <col min="14081" max="14081" width="45.28515625" style="500" customWidth="1"/>
    <col min="14082" max="14082" width="73.7109375" style="500" customWidth="1"/>
    <col min="14083" max="14083" width="75.42578125" style="500" customWidth="1"/>
    <col min="14084" max="14084" width="0" style="500" hidden="1" customWidth="1"/>
    <col min="14085" max="14336" width="9.140625" style="500"/>
    <col min="14337" max="14337" width="45.28515625" style="500" customWidth="1"/>
    <col min="14338" max="14338" width="73.7109375" style="500" customWidth="1"/>
    <col min="14339" max="14339" width="75.42578125" style="500" customWidth="1"/>
    <col min="14340" max="14340" width="0" style="500" hidden="1" customWidth="1"/>
    <col min="14341" max="14592" width="9.140625" style="500"/>
    <col min="14593" max="14593" width="45.28515625" style="500" customWidth="1"/>
    <col min="14594" max="14594" width="73.7109375" style="500" customWidth="1"/>
    <col min="14595" max="14595" width="75.42578125" style="500" customWidth="1"/>
    <col min="14596" max="14596" width="0" style="500" hidden="1" customWidth="1"/>
    <col min="14597" max="14848" width="9.140625" style="500"/>
    <col min="14849" max="14849" width="45.28515625" style="500" customWidth="1"/>
    <col min="14850" max="14850" width="73.7109375" style="500" customWidth="1"/>
    <col min="14851" max="14851" width="75.42578125" style="500" customWidth="1"/>
    <col min="14852" max="14852" width="0" style="500" hidden="1" customWidth="1"/>
    <col min="14853" max="15104" width="9.140625" style="500"/>
    <col min="15105" max="15105" width="45.28515625" style="500" customWidth="1"/>
    <col min="15106" max="15106" width="73.7109375" style="500" customWidth="1"/>
    <col min="15107" max="15107" width="75.42578125" style="500" customWidth="1"/>
    <col min="15108" max="15108" width="0" style="500" hidden="1" customWidth="1"/>
    <col min="15109" max="15360" width="9.140625" style="500"/>
    <col min="15361" max="15361" width="45.28515625" style="500" customWidth="1"/>
    <col min="15362" max="15362" width="73.7109375" style="500" customWidth="1"/>
    <col min="15363" max="15363" width="75.42578125" style="500" customWidth="1"/>
    <col min="15364" max="15364" width="0" style="500" hidden="1" customWidth="1"/>
    <col min="15365" max="15616" width="9.140625" style="500"/>
    <col min="15617" max="15617" width="45.28515625" style="500" customWidth="1"/>
    <col min="15618" max="15618" width="73.7109375" style="500" customWidth="1"/>
    <col min="15619" max="15619" width="75.42578125" style="500" customWidth="1"/>
    <col min="15620" max="15620" width="0" style="500" hidden="1" customWidth="1"/>
    <col min="15621" max="15872" width="9.140625" style="500"/>
    <col min="15873" max="15873" width="45.28515625" style="500" customWidth="1"/>
    <col min="15874" max="15874" width="73.7109375" style="500" customWidth="1"/>
    <col min="15875" max="15875" width="75.42578125" style="500" customWidth="1"/>
    <col min="15876" max="15876" width="0" style="500" hidden="1" customWidth="1"/>
    <col min="15877" max="16128" width="9.140625" style="500"/>
    <col min="16129" max="16129" width="45.28515625" style="500" customWidth="1"/>
    <col min="16130" max="16130" width="73.7109375" style="500" customWidth="1"/>
    <col min="16131" max="16131" width="75.42578125" style="500" customWidth="1"/>
    <col min="16132" max="16132" width="0" style="500" hidden="1" customWidth="1"/>
    <col min="16133" max="16384" width="9.140625" style="500"/>
  </cols>
  <sheetData>
    <row r="1" spans="1:4" ht="54.75" customHeight="1" thickBot="1">
      <c r="A1" s="1307" t="s">
        <v>1984</v>
      </c>
      <c r="B1" s="1308"/>
      <c r="C1" s="501"/>
      <c r="D1" s="499"/>
    </row>
    <row r="2" spans="1:4" ht="42.75" customHeight="1" thickBot="1">
      <c r="A2" s="1309" t="s">
        <v>1511</v>
      </c>
      <c r="B2" s="1310" t="s">
        <v>1512</v>
      </c>
      <c r="C2" s="1311"/>
      <c r="D2" s="501" t="s">
        <v>712</v>
      </c>
    </row>
    <row r="3" spans="1:4" ht="41.25" customHeight="1" thickBot="1">
      <c r="A3" s="1312"/>
      <c r="B3" s="882" t="s">
        <v>1985</v>
      </c>
      <c r="C3" s="967" t="s">
        <v>1983</v>
      </c>
      <c r="D3" s="501" t="s">
        <v>621</v>
      </c>
    </row>
    <row r="4" spans="1:4" ht="27" customHeight="1">
      <c r="A4" s="502" t="s">
        <v>749</v>
      </c>
      <c r="B4" s="953"/>
      <c r="C4" s="953"/>
      <c r="D4" s="503"/>
    </row>
    <row r="5" spans="1:4" ht="35.25" customHeight="1">
      <c r="A5" s="430" t="s">
        <v>745</v>
      </c>
      <c r="B5" s="968" t="s">
        <v>521</v>
      </c>
      <c r="C5" s="432" t="s">
        <v>521</v>
      </c>
      <c r="D5" s="504"/>
    </row>
    <row r="6" spans="1:4" ht="34.5" customHeight="1">
      <c r="A6" s="430" t="s">
        <v>1507</v>
      </c>
      <c r="B6" s="432" t="s">
        <v>521</v>
      </c>
      <c r="C6" s="432" t="s">
        <v>521</v>
      </c>
      <c r="D6" s="375"/>
    </row>
    <row r="7" spans="1:4" ht="33.75" customHeight="1">
      <c r="A7" s="339" t="s">
        <v>746</v>
      </c>
      <c r="B7" s="841" t="s">
        <v>1513</v>
      </c>
      <c r="C7" s="841" t="s">
        <v>1513</v>
      </c>
      <c r="D7" s="375"/>
    </row>
    <row r="8" spans="1:4" ht="60" customHeight="1">
      <c r="A8" s="431" t="s">
        <v>45</v>
      </c>
      <c r="B8" s="842" t="s">
        <v>1514</v>
      </c>
      <c r="C8" s="842" t="s">
        <v>1514</v>
      </c>
      <c r="D8" s="505"/>
    </row>
    <row r="9" spans="1:4" ht="41.25" customHeight="1">
      <c r="A9" s="924" t="s">
        <v>1508</v>
      </c>
      <c r="B9" s="432" t="s">
        <v>1513</v>
      </c>
      <c r="C9" s="432" t="s">
        <v>1513</v>
      </c>
      <c r="D9" s="375"/>
    </row>
    <row r="10" spans="1:4" ht="35.25" customHeight="1">
      <c r="A10" s="431" t="s">
        <v>46</v>
      </c>
      <c r="B10" s="432" t="s">
        <v>1513</v>
      </c>
      <c r="C10" s="432" t="s">
        <v>1740</v>
      </c>
      <c r="D10" s="375" t="s">
        <v>716</v>
      </c>
    </row>
    <row r="11" spans="1:4" ht="39" customHeight="1">
      <c r="A11" s="431" t="s">
        <v>47</v>
      </c>
      <c r="B11" s="432" t="s">
        <v>1515</v>
      </c>
      <c r="C11" s="432" t="s">
        <v>1515</v>
      </c>
      <c r="D11" s="375" t="s">
        <v>713</v>
      </c>
    </row>
    <row r="12" spans="1:4" ht="36.75" customHeight="1">
      <c r="A12" s="431" t="s">
        <v>747</v>
      </c>
      <c r="B12" s="969" t="s">
        <v>1986</v>
      </c>
      <c r="C12" s="432" t="s">
        <v>1987</v>
      </c>
      <c r="D12" s="375" t="s">
        <v>717</v>
      </c>
    </row>
    <row r="13" spans="1:4" ht="37.5" customHeight="1" thickBot="1">
      <c r="A13" s="954" t="s">
        <v>748</v>
      </c>
      <c r="B13" s="970" t="s">
        <v>1513</v>
      </c>
      <c r="C13" s="970" t="s">
        <v>1513</v>
      </c>
      <c r="D13" s="376" t="s">
        <v>714</v>
      </c>
    </row>
    <row r="14" spans="1:4" ht="29.25" customHeight="1">
      <c r="A14" s="338" t="s">
        <v>1516</v>
      </c>
      <c r="B14" s="971"/>
      <c r="C14" s="971"/>
      <c r="D14" s="506"/>
    </row>
    <row r="15" spans="1:4" ht="35.25" customHeight="1">
      <c r="A15" s="431" t="s">
        <v>715</v>
      </c>
      <c r="B15" s="842" t="s">
        <v>1517</v>
      </c>
      <c r="C15" s="842" t="s">
        <v>1517</v>
      </c>
      <c r="D15" s="505"/>
    </row>
    <row r="16" spans="1:4" ht="39" customHeight="1">
      <c r="A16" s="431" t="s">
        <v>48</v>
      </c>
      <c r="B16" s="842" t="s">
        <v>1518</v>
      </c>
      <c r="C16" s="842" t="s">
        <v>1518</v>
      </c>
      <c r="D16" s="505" t="s">
        <v>627</v>
      </c>
    </row>
    <row r="17" spans="1:4" ht="43.15" customHeight="1">
      <c r="A17" s="431" t="s">
        <v>1519</v>
      </c>
      <c r="B17" s="842" t="s">
        <v>1741</v>
      </c>
      <c r="C17" s="842" t="s">
        <v>1741</v>
      </c>
      <c r="D17" s="505" t="s">
        <v>718</v>
      </c>
    </row>
    <row r="18" spans="1:4" ht="43.5" customHeight="1">
      <c r="A18" s="431" t="s">
        <v>1739</v>
      </c>
      <c r="B18" s="842" t="s">
        <v>1520</v>
      </c>
      <c r="C18" s="842" t="s">
        <v>1520</v>
      </c>
      <c r="D18" s="505" t="s">
        <v>476</v>
      </c>
    </row>
    <row r="19" spans="1:4" ht="36" customHeight="1" thickBot="1">
      <c r="A19" s="507" t="s">
        <v>52</v>
      </c>
      <c r="B19" s="843" t="s">
        <v>521</v>
      </c>
      <c r="C19" s="843" t="s">
        <v>521</v>
      </c>
      <c r="D19" s="508" t="s">
        <v>521</v>
      </c>
    </row>
    <row r="20" spans="1:4" ht="25.5" customHeight="1">
      <c r="A20" s="338" t="s">
        <v>60</v>
      </c>
      <c r="B20" s="972"/>
      <c r="C20" s="972"/>
      <c r="D20" s="503"/>
    </row>
    <row r="21" spans="1:4" ht="42" customHeight="1">
      <c r="A21" s="431" t="s">
        <v>54</v>
      </c>
      <c r="B21" s="432" t="s">
        <v>1521</v>
      </c>
      <c r="C21" s="432" t="s">
        <v>1521</v>
      </c>
      <c r="D21" s="375"/>
    </row>
    <row r="22" spans="1:4" ht="42" customHeight="1">
      <c r="A22" s="431" t="s">
        <v>55</v>
      </c>
      <c r="B22" s="432" t="s">
        <v>1517</v>
      </c>
      <c r="C22" s="432" t="s">
        <v>1517</v>
      </c>
      <c r="D22" s="375"/>
    </row>
    <row r="23" spans="1:4" ht="36" customHeight="1">
      <c r="A23" s="431" t="s">
        <v>56</v>
      </c>
      <c r="B23" s="432" t="s">
        <v>1521</v>
      </c>
      <c r="C23" s="432" t="s">
        <v>1521</v>
      </c>
      <c r="D23" s="375" t="s">
        <v>622</v>
      </c>
    </row>
    <row r="24" spans="1:4" ht="33.75" customHeight="1">
      <c r="A24" s="431" t="s">
        <v>57</v>
      </c>
      <c r="B24" s="432" t="s">
        <v>520</v>
      </c>
      <c r="C24" s="432" t="s">
        <v>520</v>
      </c>
      <c r="D24" s="375" t="s">
        <v>520</v>
      </c>
    </row>
    <row r="25" spans="1:4" ht="35.25" customHeight="1">
      <c r="A25" s="340" t="s">
        <v>58</v>
      </c>
      <c r="B25" s="973" t="s">
        <v>1522</v>
      </c>
      <c r="C25" s="973" t="s">
        <v>1522</v>
      </c>
      <c r="D25" s="505"/>
    </row>
    <row r="26" spans="1:4" ht="37.5" customHeight="1" thickBot="1">
      <c r="A26" s="431" t="s">
        <v>59</v>
      </c>
      <c r="B26" s="974" t="s">
        <v>520</v>
      </c>
      <c r="C26" s="974" t="s">
        <v>520</v>
      </c>
      <c r="D26" s="509" t="s">
        <v>520</v>
      </c>
    </row>
    <row r="27" spans="1:4" ht="39.950000000000003" customHeight="1">
      <c r="A27" s="338" t="s">
        <v>1523</v>
      </c>
      <c r="B27" s="975"/>
      <c r="C27" s="975"/>
      <c r="D27" s="510"/>
    </row>
    <row r="28" spans="1:4" ht="36.75" customHeight="1">
      <c r="A28" s="511" t="s">
        <v>61</v>
      </c>
      <c r="B28" s="432" t="s">
        <v>1524</v>
      </c>
      <c r="C28" s="432" t="s">
        <v>1524</v>
      </c>
      <c r="D28" s="375"/>
    </row>
    <row r="29" spans="1:4" ht="34.9" customHeight="1">
      <c r="A29" s="511" t="s">
        <v>62</v>
      </c>
      <c r="B29" s="432" t="s">
        <v>1525</v>
      </c>
      <c r="C29" s="432" t="s">
        <v>1525</v>
      </c>
      <c r="D29" s="375"/>
    </row>
    <row r="30" spans="1:4" ht="39.950000000000003" hidden="1" customHeight="1">
      <c r="A30" s="512" t="s">
        <v>1526</v>
      </c>
      <c r="B30" s="841" t="s">
        <v>1527</v>
      </c>
      <c r="C30" s="841" t="s">
        <v>1527</v>
      </c>
      <c r="D30" s="375"/>
    </row>
    <row r="31" spans="1:4" ht="33.75" customHeight="1">
      <c r="A31" s="511" t="s">
        <v>1528</v>
      </c>
      <c r="B31" s="432" t="s">
        <v>1524</v>
      </c>
      <c r="C31" s="432" t="s">
        <v>1742</v>
      </c>
      <c r="D31" s="375"/>
    </row>
    <row r="32" spans="1:4" ht="42.75" customHeight="1" thickBot="1">
      <c r="A32" s="507" t="s">
        <v>64</v>
      </c>
      <c r="B32" s="843" t="s">
        <v>1529</v>
      </c>
      <c r="C32" s="843" t="s">
        <v>1529</v>
      </c>
      <c r="D32" s="508"/>
    </row>
    <row r="33" spans="1:4" ht="28.5" customHeight="1" thickBot="1">
      <c r="A33" s="1313" t="s">
        <v>1530</v>
      </c>
      <c r="B33" s="1314"/>
      <c r="C33" s="1315"/>
      <c r="D33" s="513"/>
    </row>
    <row r="34" spans="1:4">
      <c r="A34" s="674"/>
      <c r="B34" s="674"/>
      <c r="C34" s="674"/>
      <c r="D34" s="513"/>
    </row>
    <row r="35" spans="1:4" ht="15.75">
      <c r="A35" s="674"/>
      <c r="B35" s="674"/>
      <c r="C35" s="845">
        <v>27</v>
      </c>
      <c r="D35" s="513"/>
    </row>
    <row r="36" spans="1:4" ht="14.25" customHeight="1">
      <c r="A36" s="513"/>
      <c r="B36" s="513"/>
      <c r="C36" s="513"/>
      <c r="D36" s="513"/>
    </row>
    <row r="37" spans="1:4">
      <c r="A37" s="513"/>
      <c r="B37" s="513"/>
      <c r="C37" s="513"/>
      <c r="D37" s="513"/>
    </row>
    <row r="38" spans="1:4">
      <c r="A38" s="513"/>
      <c r="B38" s="513"/>
      <c r="C38" s="513"/>
      <c r="D38" s="513"/>
    </row>
    <row r="39" spans="1:4">
      <c r="A39" s="513"/>
      <c r="B39" s="513"/>
      <c r="C39" s="513"/>
      <c r="D39" s="513"/>
    </row>
    <row r="40" spans="1:4">
      <c r="A40" s="513"/>
      <c r="B40" s="513"/>
      <c r="C40" s="513"/>
      <c r="D40" s="513"/>
    </row>
    <row r="41" spans="1:4">
      <c r="A41" s="513"/>
      <c r="B41" s="513"/>
      <c r="C41" s="513"/>
      <c r="D41" s="513"/>
    </row>
    <row r="42" spans="1:4">
      <c r="A42" s="513"/>
      <c r="B42" s="513"/>
      <c r="C42" s="513"/>
      <c r="D42" s="513"/>
    </row>
    <row r="43" spans="1:4">
      <c r="A43" s="513"/>
      <c r="B43" s="513"/>
      <c r="C43" s="513"/>
      <c r="D43" s="513"/>
    </row>
    <row r="44" spans="1:4">
      <c r="A44" s="513"/>
      <c r="B44" s="513"/>
      <c r="C44" s="513"/>
      <c r="D44" s="513"/>
    </row>
    <row r="45" spans="1:4">
      <c r="A45" s="513"/>
      <c r="B45" s="513"/>
      <c r="C45" s="513"/>
      <c r="D45" s="513"/>
    </row>
    <row r="46" spans="1:4">
      <c r="A46" s="513"/>
      <c r="B46" s="513"/>
      <c r="C46" s="513"/>
      <c r="D46" s="513"/>
    </row>
    <row r="47" spans="1:4">
      <c r="A47" s="513"/>
      <c r="B47" s="513"/>
      <c r="C47" s="513"/>
      <c r="D47" s="513"/>
    </row>
    <row r="48" spans="1:4">
      <c r="A48" s="513"/>
      <c r="B48" s="513"/>
      <c r="C48" s="513"/>
      <c r="D48" s="513"/>
    </row>
    <row r="51" ht="21.75" customHeight="1"/>
    <row r="435" ht="23.25" customHeight="1"/>
  </sheetData>
  <printOptions horizontalCentered="1" verticalCentered="1"/>
  <pageMargins left="0.75" right="0.75" top="1" bottom="1" header="0.5" footer="0.5"/>
  <pageSetup scale="46" orientation="portrait" r:id="rId1"/>
  <headerFooter alignWithMargins="0"/>
  <colBreaks count="1" manualBreakCount="1">
    <brk id="3" max="34"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002060"/>
  </sheetPr>
  <dimension ref="A3:J433"/>
  <sheetViews>
    <sheetView view="pageBreakPreview" zoomScale="64" zoomScaleNormal="100" zoomScaleSheetLayoutView="64" workbookViewId="0">
      <selection activeCell="J28" sqref="J28"/>
    </sheetView>
  </sheetViews>
  <sheetFormatPr defaultRowHeight="12.75"/>
  <cols>
    <col min="1" max="1" width="9.42578125" customWidth="1"/>
    <col min="2" max="2" width="5.85546875" customWidth="1"/>
    <col min="3" max="3" width="72.7109375" customWidth="1"/>
    <col min="4" max="4" width="9.42578125" customWidth="1"/>
    <col min="5" max="5" width="0.7109375" hidden="1" customWidth="1"/>
  </cols>
  <sheetData>
    <row r="3" spans="1:10" ht="22.5" customHeight="1">
      <c r="B3" s="1877" t="s">
        <v>3</v>
      </c>
      <c r="C3" s="1877"/>
      <c r="D3" s="156"/>
    </row>
    <row r="4" spans="1:10" ht="11.25" customHeight="1">
      <c r="B4" s="155"/>
      <c r="C4" s="155"/>
      <c r="D4" s="156"/>
    </row>
    <row r="5" spans="1:10" ht="11.25" customHeight="1">
      <c r="B5" s="152" t="s">
        <v>744</v>
      </c>
      <c r="C5" s="152" t="s">
        <v>22</v>
      </c>
      <c r="D5" s="152" t="s">
        <v>78</v>
      </c>
    </row>
    <row r="6" spans="1:10">
      <c r="B6" s="152">
        <v>1</v>
      </c>
      <c r="C6" s="158" t="s">
        <v>456</v>
      </c>
      <c r="D6" s="152">
        <v>28</v>
      </c>
    </row>
    <row r="7" spans="1:10">
      <c r="B7" s="152">
        <v>2</v>
      </c>
      <c r="C7" s="160" t="s">
        <v>455</v>
      </c>
      <c r="D7" s="152">
        <v>29</v>
      </c>
    </row>
    <row r="8" spans="1:10">
      <c r="B8" s="152">
        <v>3</v>
      </c>
      <c r="C8" s="158" t="s">
        <v>804</v>
      </c>
      <c r="D8" s="1396">
        <v>30</v>
      </c>
    </row>
    <row r="9" spans="1:10">
      <c r="B9" s="152">
        <v>4</v>
      </c>
      <c r="C9" s="158" t="s">
        <v>31</v>
      </c>
      <c r="D9" s="1897">
        <v>31</v>
      </c>
    </row>
    <row r="10" spans="1:10">
      <c r="B10" s="152">
        <v>5</v>
      </c>
      <c r="C10" s="158" t="s">
        <v>571</v>
      </c>
      <c r="D10" s="1898"/>
    </row>
    <row r="11" spans="1:10">
      <c r="B11" s="152">
        <v>6</v>
      </c>
      <c r="C11" s="157" t="s">
        <v>1191</v>
      </c>
      <c r="D11" s="1899"/>
    </row>
    <row r="16" spans="1:10" ht="24.75" customHeight="1">
      <c r="A16" s="518"/>
      <c r="B16" s="411"/>
      <c r="C16" s="411"/>
      <c r="D16" s="411"/>
      <c r="E16" s="411"/>
      <c r="F16" s="411"/>
      <c r="G16" s="411"/>
      <c r="H16" s="411"/>
      <c r="I16" s="411"/>
      <c r="J16" s="411"/>
    </row>
    <row r="28" ht="10.5" customHeight="1"/>
    <row r="49" ht="21.75" customHeight="1"/>
    <row r="433" ht="23.25" customHeight="1"/>
  </sheetData>
  <mergeCells count="2">
    <mergeCell ref="B3:C3"/>
    <mergeCell ref="D9:D11"/>
  </mergeCells>
  <printOptions horizontalCentered="1" verticalCentered="1"/>
  <pageMargins left="0.75" right="0.75" top="1" bottom="1" header="0.5" footer="0.5"/>
  <pageSetup scale="75"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002060"/>
  </sheetPr>
  <dimension ref="A1:M430"/>
  <sheetViews>
    <sheetView view="pageBreakPreview" topLeftCell="A19" zoomScale="64" zoomScaleNormal="85" zoomScaleSheetLayoutView="64" workbookViewId="0">
      <selection activeCell="J28" sqref="J28"/>
    </sheetView>
  </sheetViews>
  <sheetFormatPr defaultColWidth="9.140625" defaultRowHeight="30" customHeight="1"/>
  <cols>
    <col min="1" max="1" width="2.5703125" style="178" customWidth="1"/>
    <col min="2" max="2" width="3.140625" style="178" customWidth="1"/>
    <col min="3" max="3" width="4.7109375" style="178" customWidth="1"/>
    <col min="4" max="4" width="13.85546875" style="178" customWidth="1"/>
    <col min="5" max="5" width="19.5703125" style="178" customWidth="1"/>
    <col min="6" max="6" width="30" style="178" customWidth="1"/>
    <col min="7" max="7" width="17.7109375" style="178" customWidth="1"/>
    <col min="8" max="8" width="30.85546875" style="178" customWidth="1"/>
    <col min="9" max="9" width="13.85546875" style="178" customWidth="1"/>
    <col min="10" max="10" width="0.140625" style="216" customWidth="1"/>
    <col min="11" max="11" width="9.140625" style="177"/>
    <col min="12" max="16384" width="9.140625" style="178"/>
  </cols>
  <sheetData>
    <row r="1" spans="1:12" ht="25.5" customHeight="1" thickBot="1">
      <c r="A1" s="177"/>
      <c r="B1" s="177"/>
      <c r="C1" s="1927" t="s">
        <v>1537</v>
      </c>
      <c r="D1" s="1928"/>
      <c r="E1" s="1928"/>
      <c r="F1" s="1928"/>
      <c r="G1" s="1928"/>
      <c r="H1" s="1928"/>
      <c r="I1" s="1928"/>
      <c r="J1" s="1929"/>
    </row>
    <row r="2" spans="1:12" ht="11.25" customHeight="1">
      <c r="A2" s="177"/>
      <c r="B2" s="177"/>
      <c r="C2" s="1930" t="s">
        <v>35</v>
      </c>
      <c r="D2" s="1931"/>
      <c r="E2" s="1931"/>
      <c r="F2" s="1933" t="s">
        <v>36</v>
      </c>
      <c r="G2" s="1933"/>
      <c r="H2" s="1933" t="s">
        <v>37</v>
      </c>
      <c r="I2" s="1934"/>
    </row>
    <row r="3" spans="1:12" ht="7.5" customHeight="1">
      <c r="A3" s="177"/>
      <c r="B3" s="177"/>
      <c r="C3" s="1932"/>
      <c r="D3" s="1905"/>
      <c r="E3" s="1905"/>
      <c r="F3" s="1921"/>
      <c r="G3" s="1921"/>
      <c r="H3" s="1921"/>
      <c r="I3" s="1935"/>
    </row>
    <row r="4" spans="1:12" ht="14.25" customHeight="1">
      <c r="A4" s="177"/>
      <c r="B4" s="177"/>
      <c r="C4" s="1916" t="s">
        <v>12</v>
      </c>
      <c r="D4" s="1903"/>
      <c r="E4" s="1903"/>
      <c r="F4" s="1903">
        <v>3207</v>
      </c>
      <c r="G4" s="1903"/>
      <c r="H4" s="1903">
        <v>284064</v>
      </c>
      <c r="I4" s="1904"/>
    </row>
    <row r="5" spans="1:12" ht="14.25" customHeight="1">
      <c r="A5" s="177"/>
      <c r="B5" s="177"/>
      <c r="C5" s="1916" t="s">
        <v>13</v>
      </c>
      <c r="D5" s="1903"/>
      <c r="E5" s="1903"/>
      <c r="F5" s="1903">
        <v>2780</v>
      </c>
      <c r="G5" s="1903"/>
      <c r="H5" s="1903">
        <v>367244</v>
      </c>
      <c r="I5" s="1904"/>
    </row>
    <row r="6" spans="1:12" ht="14.25" customHeight="1">
      <c r="A6" s="177"/>
      <c r="B6" s="177"/>
      <c r="C6" s="1916" t="s">
        <v>14</v>
      </c>
      <c r="D6" s="1903"/>
      <c r="E6" s="1903"/>
      <c r="F6" s="1903">
        <v>2093</v>
      </c>
      <c r="G6" s="1903"/>
      <c r="H6" s="1903">
        <v>297594</v>
      </c>
      <c r="I6" s="1904"/>
      <c r="L6" s="178" t="s">
        <v>394</v>
      </c>
    </row>
    <row r="7" spans="1:12" ht="14.25" customHeight="1">
      <c r="A7" s="177"/>
      <c r="B7" s="177"/>
      <c r="C7" s="1916" t="s">
        <v>15</v>
      </c>
      <c r="D7" s="1903"/>
      <c r="E7" s="1903"/>
      <c r="F7" s="1903">
        <v>1218</v>
      </c>
      <c r="G7" s="1903"/>
      <c r="H7" s="1903">
        <v>311060</v>
      </c>
      <c r="I7" s="1904"/>
    </row>
    <row r="8" spans="1:12" ht="14.25" customHeight="1">
      <c r="A8" s="177"/>
      <c r="B8" s="177"/>
      <c r="C8" s="1916" t="s">
        <v>16</v>
      </c>
      <c r="D8" s="1903"/>
      <c r="E8" s="1903"/>
      <c r="F8" s="1903">
        <v>4111</v>
      </c>
      <c r="G8" s="1903"/>
      <c r="H8" s="1903">
        <v>316074</v>
      </c>
      <c r="I8" s="1904"/>
    </row>
    <row r="9" spans="1:12" ht="14.25" customHeight="1">
      <c r="A9" s="177"/>
      <c r="B9" s="177"/>
      <c r="C9" s="1932" t="s">
        <v>11</v>
      </c>
      <c r="D9" s="1905"/>
      <c r="E9" s="1905"/>
      <c r="F9" s="1905">
        <f>SUM(F4:G8)</f>
        <v>13409</v>
      </c>
      <c r="G9" s="1905"/>
      <c r="H9" s="1905">
        <f>SUM(H4:H8)</f>
        <v>1576036</v>
      </c>
      <c r="I9" s="1906"/>
    </row>
    <row r="10" spans="1:12" ht="14.25" customHeight="1">
      <c r="A10" s="177"/>
      <c r="B10" s="177"/>
      <c r="C10" s="1916" t="s">
        <v>17</v>
      </c>
      <c r="D10" s="1903"/>
      <c r="E10" s="1903"/>
      <c r="F10" s="1903">
        <v>2626</v>
      </c>
      <c r="G10" s="1903"/>
      <c r="H10" s="1903">
        <v>651095</v>
      </c>
      <c r="I10" s="1904"/>
    </row>
    <row r="11" spans="1:12" ht="14.25" customHeight="1">
      <c r="A11" s="177"/>
      <c r="B11" s="177"/>
      <c r="C11" s="1916" t="s">
        <v>18</v>
      </c>
      <c r="D11" s="1903"/>
      <c r="E11" s="1903"/>
      <c r="F11" s="1903">
        <v>2781</v>
      </c>
      <c r="G11" s="1903"/>
      <c r="H11" s="1903">
        <v>322968</v>
      </c>
      <c r="I11" s="1904"/>
    </row>
    <row r="12" spans="1:12" ht="14.25" customHeight="1">
      <c r="A12" s="177"/>
      <c r="B12" s="177"/>
      <c r="C12" s="1916" t="s">
        <v>19</v>
      </c>
      <c r="D12" s="1903"/>
      <c r="E12" s="1903"/>
      <c r="F12" s="1903">
        <v>3884</v>
      </c>
      <c r="G12" s="1903"/>
      <c r="H12" s="1903">
        <v>331020</v>
      </c>
      <c r="I12" s="1904"/>
    </row>
    <row r="13" spans="1:12" ht="14.25" customHeight="1">
      <c r="A13" s="177"/>
      <c r="B13" s="177"/>
      <c r="C13" s="1916" t="s">
        <v>20</v>
      </c>
      <c r="D13" s="1903"/>
      <c r="E13" s="1903"/>
      <c r="F13" s="1903">
        <v>12632</v>
      </c>
      <c r="G13" s="1903"/>
      <c r="H13" s="1903">
        <v>397343</v>
      </c>
      <c r="I13" s="1904"/>
    </row>
    <row r="14" spans="1:12" ht="14.25" customHeight="1">
      <c r="A14" s="177"/>
      <c r="B14" s="177"/>
      <c r="C14" s="1916" t="s">
        <v>400</v>
      </c>
      <c r="D14" s="1903"/>
      <c r="E14" s="1903"/>
      <c r="F14" s="1903">
        <v>22594</v>
      </c>
      <c r="G14" s="1903"/>
      <c r="H14" s="1903">
        <v>611750</v>
      </c>
      <c r="I14" s="1904"/>
    </row>
    <row r="15" spans="1:12" ht="14.25" customHeight="1">
      <c r="A15" s="177"/>
      <c r="B15" s="177"/>
      <c r="C15" s="1932" t="s">
        <v>458</v>
      </c>
      <c r="D15" s="1905"/>
      <c r="E15" s="1905"/>
      <c r="F15" s="1905">
        <f>SUM(F10:F14)</f>
        <v>44517</v>
      </c>
      <c r="G15" s="1905"/>
      <c r="H15" s="1905">
        <f>SUM(H10:H14)</f>
        <v>2314176</v>
      </c>
      <c r="I15" s="1906"/>
    </row>
    <row r="16" spans="1:12" ht="24" customHeight="1">
      <c r="A16" s="177"/>
      <c r="B16" s="177"/>
      <c r="C16" s="1920" t="s">
        <v>40</v>
      </c>
      <c r="D16" s="1921"/>
      <c r="E16" s="1921"/>
      <c r="F16" s="1905" t="s">
        <v>25</v>
      </c>
      <c r="G16" s="1924"/>
      <c r="H16" s="1925">
        <v>15455554</v>
      </c>
      <c r="I16" s="1926"/>
    </row>
    <row r="17" spans="1:13" ht="16.5" customHeight="1">
      <c r="A17" s="177"/>
      <c r="B17" s="177"/>
      <c r="C17" s="1922" t="s">
        <v>459</v>
      </c>
      <c r="D17" s="1923"/>
      <c r="E17" s="1919"/>
      <c r="F17" s="1917">
        <v>5743</v>
      </c>
      <c r="G17" s="1919"/>
      <c r="H17" s="1917">
        <v>412667</v>
      </c>
      <c r="I17" s="1918"/>
    </row>
    <row r="18" spans="1:13" ht="18.75" customHeight="1">
      <c r="A18" s="412">
        <v>43252</v>
      </c>
      <c r="B18" s="413"/>
      <c r="C18" s="1922" t="s">
        <v>460</v>
      </c>
      <c r="D18" s="1923"/>
      <c r="E18" s="1919"/>
      <c r="F18" s="1917">
        <v>8629</v>
      </c>
      <c r="G18" s="1919"/>
      <c r="H18" s="1917">
        <v>499150</v>
      </c>
      <c r="I18" s="1918"/>
      <c r="J18" s="414"/>
    </row>
    <row r="19" spans="1:13" ht="14.25" customHeight="1">
      <c r="A19" s="177"/>
      <c r="B19" s="177"/>
      <c r="C19" s="1916" t="s">
        <v>7</v>
      </c>
      <c r="D19" s="1903"/>
      <c r="E19" s="1903"/>
      <c r="F19" s="1903">
        <v>3726</v>
      </c>
      <c r="G19" s="1903"/>
      <c r="H19" s="1903">
        <v>557976</v>
      </c>
      <c r="I19" s="1904"/>
    </row>
    <row r="20" spans="1:13" ht="14.25" customHeight="1">
      <c r="A20" s="177"/>
      <c r="B20" s="177"/>
      <c r="C20" s="1916" t="s">
        <v>453</v>
      </c>
      <c r="D20" s="1903"/>
      <c r="E20" s="1903"/>
      <c r="F20" s="1903">
        <v>46708</v>
      </c>
      <c r="G20" s="1903"/>
      <c r="H20" s="1903">
        <v>840909</v>
      </c>
      <c r="I20" s="1904"/>
    </row>
    <row r="21" spans="1:13" ht="14.25" customHeight="1">
      <c r="A21" s="177"/>
      <c r="B21" s="177"/>
      <c r="C21" s="1916" t="s">
        <v>6</v>
      </c>
      <c r="D21" s="1903"/>
      <c r="E21" s="1903"/>
      <c r="F21" s="1903">
        <v>9769</v>
      </c>
      <c r="G21" s="1903"/>
      <c r="H21" s="1903">
        <v>652913</v>
      </c>
      <c r="I21" s="1904"/>
    </row>
    <row r="22" spans="1:13" ht="15" customHeight="1">
      <c r="A22" s="177"/>
      <c r="B22" s="177"/>
      <c r="C22" s="1907" t="s">
        <v>401</v>
      </c>
      <c r="D22" s="1908"/>
      <c r="E22" s="1908"/>
      <c r="F22" s="1905">
        <v>74575</v>
      </c>
      <c r="G22" s="1905"/>
      <c r="H22" s="1905">
        <f>SUM(H17:H21)</f>
        <v>2963615</v>
      </c>
      <c r="I22" s="1906"/>
    </row>
    <row r="23" spans="1:13" ht="15" customHeight="1">
      <c r="A23" s="177"/>
      <c r="B23" s="177"/>
      <c r="C23" s="1909" t="s">
        <v>39</v>
      </c>
      <c r="D23" s="1910"/>
      <c r="E23" s="1910"/>
      <c r="F23" s="1905">
        <v>557439</v>
      </c>
      <c r="G23" s="1905"/>
      <c r="H23" s="1905">
        <v>18423975</v>
      </c>
      <c r="I23" s="1906"/>
    </row>
    <row r="24" spans="1:13" ht="18" customHeight="1">
      <c r="A24" s="177"/>
      <c r="B24" s="185"/>
      <c r="C24" s="1913" t="s">
        <v>628</v>
      </c>
      <c r="D24" s="1914"/>
      <c r="E24" s="1915"/>
      <c r="F24" s="1911" t="s">
        <v>707</v>
      </c>
      <c r="G24" s="1911"/>
      <c r="H24" s="1911">
        <v>21212860</v>
      </c>
      <c r="I24" s="1912"/>
    </row>
    <row r="25" spans="1:13" ht="45.75" customHeight="1" thickBot="1">
      <c r="A25" s="177"/>
      <c r="B25" s="186"/>
      <c r="C25" s="1900" t="s">
        <v>38</v>
      </c>
      <c r="D25" s="1901"/>
      <c r="E25" s="1901"/>
      <c r="F25" s="1901"/>
      <c r="G25" s="1901"/>
      <c r="H25" s="1901"/>
      <c r="I25" s="1902"/>
    </row>
    <row r="26" spans="1:13" ht="111.75" customHeight="1" thickBot="1">
      <c r="A26" s="177"/>
      <c r="B26" s="177"/>
      <c r="C26" s="1936" t="s">
        <v>570</v>
      </c>
      <c r="D26" s="1937"/>
      <c r="E26" s="1937"/>
      <c r="F26" s="1937"/>
      <c r="G26" s="1937"/>
      <c r="H26" s="1937"/>
      <c r="I26" s="1938"/>
      <c r="J26" s="177"/>
    </row>
    <row r="27" spans="1:13" ht="19.5" customHeight="1">
      <c r="A27" s="177"/>
      <c r="B27" s="177"/>
      <c r="H27" s="342"/>
      <c r="J27" s="177"/>
    </row>
    <row r="28" spans="1:13" ht="18.75" customHeight="1">
      <c r="A28" s="177"/>
      <c r="B28" s="177"/>
      <c r="J28" s="177"/>
      <c r="K28" s="65">
        <v>28</v>
      </c>
    </row>
    <row r="29" spans="1:13" ht="16.5" hidden="1" customHeight="1">
      <c r="A29" s="177"/>
      <c r="B29" s="177"/>
      <c r="I29" s="177"/>
      <c r="J29" s="177"/>
    </row>
    <row r="30" spans="1:13" ht="30" customHeight="1">
      <c r="A30" s="177"/>
      <c r="B30" s="177"/>
      <c r="I30" s="177"/>
      <c r="J30" s="177"/>
    </row>
    <row r="31" spans="1:13" ht="30" customHeight="1">
      <c r="A31" s="177"/>
      <c r="B31" s="177"/>
      <c r="I31" s="177"/>
      <c r="J31" s="177"/>
    </row>
    <row r="32" spans="1:13" ht="30" customHeight="1">
      <c r="A32" s="177"/>
      <c r="B32" s="177"/>
      <c r="C32" s="177"/>
      <c r="D32" s="177"/>
      <c r="E32" s="177"/>
      <c r="F32" s="177"/>
      <c r="G32" s="177"/>
      <c r="H32" s="177"/>
      <c r="I32" s="177"/>
      <c r="J32" s="177"/>
      <c r="L32" s="177"/>
      <c r="M32" s="177"/>
    </row>
    <row r="33" spans="1:13" ht="30" customHeight="1">
      <c r="A33" s="177"/>
      <c r="B33" s="177"/>
      <c r="C33" s="177"/>
      <c r="D33" s="177"/>
      <c r="E33" s="177"/>
      <c r="F33" s="177"/>
      <c r="G33" s="177"/>
      <c r="H33" s="177"/>
      <c r="I33" s="177"/>
      <c r="J33" s="177"/>
      <c r="L33" s="177"/>
      <c r="M33" s="177"/>
    </row>
    <row r="34" spans="1:13" ht="30" customHeight="1">
      <c r="A34" s="177"/>
      <c r="B34" s="177"/>
      <c r="C34" s="177"/>
      <c r="D34" s="177"/>
      <c r="E34" s="177"/>
      <c r="F34" s="177"/>
      <c r="G34" s="177"/>
      <c r="H34" s="177"/>
      <c r="I34" s="177"/>
      <c r="J34" s="177"/>
      <c r="L34" s="177"/>
      <c r="M34" s="177"/>
    </row>
    <row r="35" spans="1:13" ht="30" customHeight="1">
      <c r="B35" s="177"/>
      <c r="C35" s="177"/>
      <c r="D35" s="177"/>
      <c r="E35" s="177"/>
      <c r="F35" s="177"/>
      <c r="G35" s="177"/>
      <c r="H35" s="177"/>
      <c r="I35" s="177"/>
      <c r="J35" s="177"/>
      <c r="L35" s="177"/>
      <c r="M35" s="177"/>
    </row>
    <row r="36" spans="1:13" ht="30" customHeight="1">
      <c r="B36" s="177"/>
      <c r="C36" s="177"/>
      <c r="D36" s="177"/>
      <c r="E36" s="177"/>
      <c r="F36" s="177"/>
      <c r="G36" s="177"/>
      <c r="H36" s="177"/>
      <c r="I36" s="177"/>
      <c r="J36" s="177"/>
      <c r="L36" s="177"/>
      <c r="M36" s="177"/>
    </row>
    <row r="37" spans="1:13" ht="30" customHeight="1">
      <c r="B37" s="177"/>
      <c r="C37" s="177"/>
      <c r="D37" s="177"/>
      <c r="E37" s="177"/>
      <c r="F37" s="177"/>
      <c r="G37" s="177"/>
      <c r="H37" s="177"/>
      <c r="I37" s="177"/>
      <c r="J37" s="177"/>
      <c r="L37" s="177"/>
      <c r="M37" s="177"/>
    </row>
    <row r="38" spans="1:13" ht="30" customHeight="1">
      <c r="B38" s="177"/>
      <c r="C38" s="177"/>
      <c r="D38" s="177"/>
      <c r="E38" s="177"/>
      <c r="F38" s="177"/>
      <c r="G38" s="177"/>
      <c r="H38" s="177"/>
      <c r="I38" s="177"/>
      <c r="J38" s="177"/>
      <c r="L38" s="177"/>
      <c r="M38" s="177"/>
    </row>
    <row r="39" spans="1:13" ht="30" customHeight="1">
      <c r="B39" s="177"/>
      <c r="C39" s="177"/>
      <c r="D39" s="177"/>
      <c r="E39" s="177"/>
      <c r="F39" s="177"/>
      <c r="G39" s="177"/>
      <c r="H39" s="177"/>
      <c r="I39" s="177"/>
      <c r="J39" s="177"/>
      <c r="L39" s="177"/>
      <c r="M39" s="177"/>
    </row>
    <row r="40" spans="1:13" ht="30" customHeight="1">
      <c r="B40" s="177"/>
      <c r="C40" s="177"/>
      <c r="D40" s="177"/>
      <c r="E40" s="177"/>
      <c r="F40" s="177"/>
      <c r="G40" s="177"/>
      <c r="H40" s="177"/>
      <c r="I40" s="177"/>
      <c r="J40" s="177"/>
      <c r="L40" s="177"/>
      <c r="M40" s="177"/>
    </row>
    <row r="41" spans="1:13" ht="30" customHeight="1">
      <c r="B41" s="177"/>
      <c r="C41" s="177"/>
      <c r="D41" s="177"/>
      <c r="E41" s="177"/>
      <c r="F41" s="177"/>
      <c r="G41" s="177"/>
      <c r="H41" s="177"/>
      <c r="I41" s="177"/>
      <c r="J41" s="177"/>
      <c r="L41" s="177"/>
      <c r="M41" s="177"/>
    </row>
    <row r="42" spans="1:13" ht="30" customHeight="1">
      <c r="B42" s="177"/>
      <c r="C42" s="177"/>
      <c r="D42" s="177"/>
      <c r="E42" s="177"/>
      <c r="F42" s="177"/>
      <c r="G42" s="177"/>
      <c r="H42" s="177"/>
      <c r="I42" s="177"/>
      <c r="J42" s="177"/>
      <c r="L42" s="177"/>
      <c r="M42" s="177"/>
    </row>
    <row r="43" spans="1:13" ht="30" customHeight="1">
      <c r="B43" s="177"/>
      <c r="C43" s="177"/>
      <c r="D43" s="177"/>
      <c r="E43" s="177"/>
      <c r="F43" s="177"/>
      <c r="G43" s="177"/>
      <c r="H43" s="177"/>
      <c r="I43" s="177"/>
      <c r="J43" s="177"/>
      <c r="L43" s="177"/>
      <c r="M43" s="177"/>
    </row>
    <row r="44" spans="1:13" ht="30" customHeight="1">
      <c r="B44" s="177"/>
      <c r="C44" s="177"/>
      <c r="D44" s="177"/>
      <c r="E44" s="177"/>
      <c r="F44" s="177"/>
      <c r="G44" s="177"/>
      <c r="H44" s="177"/>
      <c r="I44" s="177"/>
      <c r="J44" s="177"/>
      <c r="L44" s="177"/>
      <c r="M44" s="177"/>
    </row>
    <row r="45" spans="1:13" ht="30" customHeight="1">
      <c r="B45" s="177"/>
      <c r="C45" s="177"/>
      <c r="D45" s="177"/>
      <c r="E45" s="177"/>
      <c r="F45" s="177"/>
      <c r="G45" s="177"/>
      <c r="H45" s="177"/>
      <c r="I45" s="177"/>
      <c r="J45" s="177"/>
      <c r="L45" s="177"/>
      <c r="M45" s="177"/>
    </row>
    <row r="46" spans="1:13" ht="21.75" customHeight="1">
      <c r="B46" s="177"/>
      <c r="C46" s="177"/>
      <c r="D46" s="177"/>
      <c r="E46" s="177"/>
      <c r="F46" s="177"/>
      <c r="G46" s="177"/>
      <c r="H46" s="177"/>
      <c r="I46" s="177"/>
      <c r="J46" s="177"/>
      <c r="L46" s="177"/>
      <c r="M46" s="177"/>
    </row>
    <row r="47" spans="1:13" ht="30" customHeight="1">
      <c r="B47" s="177"/>
      <c r="C47" s="177"/>
      <c r="D47" s="177"/>
      <c r="E47" s="177"/>
      <c r="F47" s="177"/>
      <c r="G47" s="177"/>
      <c r="H47" s="177"/>
      <c r="I47" s="177"/>
      <c r="J47" s="177"/>
      <c r="L47" s="177"/>
      <c r="M47" s="177"/>
    </row>
    <row r="48" spans="1:13" ht="30" customHeight="1">
      <c r="B48" s="177"/>
      <c r="C48" s="177"/>
      <c r="D48" s="177"/>
      <c r="E48" s="177"/>
      <c r="F48" s="177"/>
      <c r="G48" s="177"/>
      <c r="H48" s="177"/>
      <c r="I48" s="177"/>
      <c r="J48" s="177"/>
      <c r="L48" s="177"/>
      <c r="M48" s="177"/>
    </row>
    <row r="49" spans="2:13" ht="30" customHeight="1">
      <c r="B49" s="177"/>
      <c r="C49" s="177"/>
      <c r="D49" s="177"/>
      <c r="E49" s="177"/>
      <c r="F49" s="177"/>
      <c r="G49" s="177"/>
      <c r="H49" s="177"/>
      <c r="I49" s="177"/>
      <c r="J49" s="177"/>
      <c r="L49" s="177"/>
      <c r="M49" s="177"/>
    </row>
    <row r="50" spans="2:13" ht="30" customHeight="1">
      <c r="B50" s="177"/>
      <c r="C50" s="177"/>
      <c r="D50" s="177"/>
      <c r="E50" s="177"/>
      <c r="F50" s="177"/>
      <c r="G50" s="177"/>
      <c r="H50" s="177"/>
      <c r="I50" s="177"/>
      <c r="J50" s="177"/>
      <c r="L50" s="177"/>
      <c r="M50" s="177"/>
    </row>
    <row r="51" spans="2:13" ht="30" customHeight="1">
      <c r="B51" s="177"/>
      <c r="C51" s="177"/>
      <c r="D51" s="177"/>
      <c r="E51" s="177"/>
      <c r="F51" s="177"/>
      <c r="G51" s="177"/>
      <c r="H51" s="177"/>
      <c r="I51" s="177"/>
      <c r="J51" s="177"/>
      <c r="L51" s="177"/>
      <c r="M51" s="177"/>
    </row>
    <row r="52" spans="2:13" ht="30" customHeight="1">
      <c r="B52" s="177"/>
      <c r="C52" s="177"/>
      <c r="D52" s="177"/>
      <c r="E52" s="177"/>
      <c r="F52" s="177"/>
      <c r="G52" s="177"/>
      <c r="H52" s="177"/>
      <c r="I52" s="177"/>
      <c r="J52" s="177"/>
      <c r="L52" s="177"/>
      <c r="M52" s="177"/>
    </row>
    <row r="53" spans="2:13" ht="30" customHeight="1">
      <c r="B53" s="177"/>
      <c r="C53" s="177"/>
      <c r="D53" s="177"/>
      <c r="E53" s="177"/>
      <c r="F53" s="177"/>
      <c r="G53" s="177"/>
      <c r="H53" s="177"/>
      <c r="I53" s="177"/>
      <c r="J53" s="177"/>
      <c r="L53" s="177"/>
      <c r="M53" s="177"/>
    </row>
    <row r="54" spans="2:13" ht="30" customHeight="1">
      <c r="B54" s="177"/>
      <c r="C54" s="177"/>
      <c r="D54" s="177"/>
      <c r="E54" s="177"/>
      <c r="F54" s="177"/>
      <c r="G54" s="177"/>
      <c r="H54" s="177"/>
      <c r="I54" s="177"/>
      <c r="J54" s="177"/>
      <c r="L54" s="177"/>
      <c r="M54" s="177"/>
    </row>
    <row r="55" spans="2:13" ht="30" customHeight="1">
      <c r="B55" s="177"/>
      <c r="C55" s="177"/>
      <c r="D55" s="177"/>
      <c r="E55" s="177"/>
      <c r="F55" s="177"/>
      <c r="G55" s="177"/>
      <c r="H55" s="177"/>
      <c r="I55" s="177"/>
      <c r="J55" s="177"/>
      <c r="L55" s="177"/>
      <c r="M55" s="177"/>
    </row>
    <row r="56" spans="2:13" ht="30" customHeight="1">
      <c r="B56" s="177"/>
      <c r="C56" s="177"/>
      <c r="D56" s="177"/>
      <c r="E56" s="177"/>
      <c r="F56" s="177"/>
      <c r="G56" s="177"/>
      <c r="H56" s="177"/>
      <c r="I56" s="177"/>
      <c r="J56" s="177"/>
      <c r="L56" s="177"/>
      <c r="M56" s="177"/>
    </row>
    <row r="57" spans="2:13" ht="30" customHeight="1">
      <c r="B57" s="177"/>
      <c r="C57" s="177"/>
      <c r="D57" s="177"/>
      <c r="E57" s="177"/>
      <c r="F57" s="177"/>
      <c r="G57" s="177"/>
      <c r="H57" s="177"/>
      <c r="I57" s="177"/>
      <c r="J57" s="177"/>
      <c r="L57" s="177"/>
      <c r="M57" s="177"/>
    </row>
    <row r="58" spans="2:13" ht="30" customHeight="1">
      <c r="B58" s="177"/>
      <c r="C58" s="177"/>
      <c r="D58" s="177"/>
      <c r="E58" s="177"/>
      <c r="F58" s="177"/>
      <c r="G58" s="177"/>
      <c r="H58" s="177"/>
      <c r="I58" s="177"/>
      <c r="J58" s="177"/>
      <c r="L58" s="177"/>
      <c r="M58" s="177"/>
    </row>
    <row r="59" spans="2:13" ht="30" customHeight="1">
      <c r="B59" s="177"/>
      <c r="C59" s="177"/>
      <c r="D59" s="177"/>
      <c r="E59" s="177"/>
      <c r="F59" s="177"/>
      <c r="G59" s="177"/>
      <c r="H59" s="177"/>
      <c r="I59" s="177"/>
      <c r="J59" s="177"/>
      <c r="L59" s="177"/>
      <c r="M59" s="177"/>
    </row>
    <row r="60" spans="2:13" ht="30" customHeight="1">
      <c r="B60" s="177"/>
      <c r="C60" s="177"/>
      <c r="D60" s="177"/>
      <c r="E60" s="177"/>
      <c r="F60" s="177"/>
      <c r="G60" s="177"/>
      <c r="H60" s="177"/>
      <c r="I60" s="177"/>
      <c r="J60" s="177"/>
      <c r="L60" s="177"/>
      <c r="M60" s="177"/>
    </row>
    <row r="61" spans="2:13" ht="30" customHeight="1">
      <c r="B61" s="177"/>
      <c r="C61" s="177"/>
      <c r="D61" s="177"/>
      <c r="E61" s="177"/>
      <c r="F61" s="177"/>
      <c r="G61" s="177"/>
      <c r="H61" s="177"/>
      <c r="I61" s="177"/>
      <c r="J61" s="177"/>
      <c r="L61" s="177"/>
      <c r="M61" s="177"/>
    </row>
    <row r="62" spans="2:13" ht="30" customHeight="1">
      <c r="B62" s="177"/>
      <c r="C62" s="177"/>
      <c r="D62" s="177"/>
      <c r="E62" s="177"/>
      <c r="F62" s="177"/>
      <c r="G62" s="177"/>
      <c r="H62" s="177"/>
      <c r="I62" s="177"/>
      <c r="J62" s="177"/>
      <c r="L62" s="177"/>
      <c r="M62" s="177"/>
    </row>
    <row r="63" spans="2:13" ht="30" customHeight="1">
      <c r="B63" s="177"/>
      <c r="C63" s="177"/>
      <c r="D63" s="177"/>
      <c r="E63" s="177"/>
      <c r="F63" s="177"/>
      <c r="G63" s="177"/>
      <c r="H63" s="177"/>
      <c r="I63" s="177"/>
      <c r="J63" s="177"/>
      <c r="L63" s="177"/>
      <c r="M63" s="177"/>
    </row>
    <row r="64" spans="2:13" ht="30" customHeight="1">
      <c r="B64" s="177"/>
      <c r="C64" s="177"/>
      <c r="D64" s="177"/>
      <c r="E64" s="177"/>
      <c r="F64" s="177"/>
      <c r="G64" s="177"/>
      <c r="H64" s="177"/>
      <c r="I64" s="177"/>
      <c r="J64" s="177"/>
      <c r="L64" s="177"/>
      <c r="M64" s="177"/>
    </row>
    <row r="65" spans="2:13" ht="30" customHeight="1">
      <c r="B65" s="177"/>
      <c r="C65" s="177"/>
      <c r="D65" s="177"/>
      <c r="E65" s="177"/>
      <c r="F65" s="177"/>
      <c r="G65" s="177"/>
      <c r="H65" s="177"/>
      <c r="I65" s="177"/>
      <c r="J65" s="177"/>
      <c r="L65" s="177"/>
      <c r="M65" s="177"/>
    </row>
    <row r="66" spans="2:13" ht="30" customHeight="1">
      <c r="B66" s="177"/>
      <c r="C66" s="177"/>
      <c r="D66" s="177"/>
      <c r="E66" s="177"/>
      <c r="F66" s="177"/>
      <c r="G66" s="177"/>
      <c r="H66" s="177"/>
      <c r="I66" s="177"/>
      <c r="J66" s="177"/>
      <c r="L66" s="177"/>
      <c r="M66" s="177"/>
    </row>
    <row r="67" spans="2:13" ht="30" customHeight="1">
      <c r="B67" s="177"/>
      <c r="C67" s="177"/>
      <c r="D67" s="177"/>
      <c r="E67" s="177"/>
      <c r="F67" s="177"/>
      <c r="G67" s="177"/>
      <c r="H67" s="177"/>
      <c r="I67" s="177"/>
      <c r="J67" s="177"/>
      <c r="L67" s="177"/>
      <c r="M67" s="177"/>
    </row>
    <row r="68" spans="2:13" ht="30" customHeight="1">
      <c r="B68" s="177"/>
      <c r="C68" s="177"/>
      <c r="D68" s="177"/>
      <c r="E68" s="177"/>
      <c r="F68" s="177"/>
      <c r="G68" s="177"/>
      <c r="H68" s="177"/>
      <c r="I68" s="177"/>
      <c r="J68" s="177"/>
      <c r="L68" s="177"/>
      <c r="M68" s="177"/>
    </row>
    <row r="69" spans="2:13" ht="30" customHeight="1">
      <c r="B69" s="177"/>
      <c r="C69" s="177"/>
      <c r="D69" s="177"/>
      <c r="E69" s="177"/>
      <c r="F69" s="177"/>
      <c r="G69" s="177"/>
      <c r="H69" s="177"/>
      <c r="I69" s="177"/>
      <c r="J69" s="177"/>
      <c r="L69" s="177"/>
      <c r="M69" s="177"/>
    </row>
    <row r="70" spans="2:13" ht="30" customHeight="1">
      <c r="B70" s="177"/>
      <c r="C70" s="177"/>
      <c r="D70" s="177"/>
      <c r="E70" s="177"/>
      <c r="F70" s="177"/>
      <c r="G70" s="177"/>
      <c r="H70" s="177"/>
      <c r="I70" s="177"/>
      <c r="J70" s="177"/>
      <c r="L70" s="177"/>
      <c r="M70" s="177"/>
    </row>
    <row r="71" spans="2:13" ht="30" customHeight="1">
      <c r="B71" s="177"/>
      <c r="C71" s="177"/>
      <c r="D71" s="177"/>
      <c r="E71" s="177"/>
      <c r="F71" s="177"/>
      <c r="G71" s="177"/>
      <c r="H71" s="177"/>
      <c r="I71" s="177"/>
      <c r="J71" s="177"/>
      <c r="L71" s="177"/>
      <c r="M71" s="177"/>
    </row>
    <row r="72" spans="2:13" ht="30" customHeight="1">
      <c r="B72" s="177"/>
      <c r="C72" s="177"/>
      <c r="D72" s="177"/>
      <c r="E72" s="177"/>
      <c r="F72" s="177"/>
      <c r="G72" s="177"/>
      <c r="H72" s="177"/>
      <c r="I72" s="177"/>
      <c r="J72" s="177"/>
      <c r="L72" s="177"/>
      <c r="M72" s="177"/>
    </row>
    <row r="73" spans="2:13" ht="30" customHeight="1">
      <c r="B73" s="177"/>
      <c r="C73" s="177"/>
      <c r="D73" s="177"/>
      <c r="E73" s="177"/>
      <c r="F73" s="177"/>
      <c r="G73" s="177"/>
      <c r="H73" s="177"/>
      <c r="I73" s="177"/>
      <c r="J73" s="177"/>
      <c r="L73" s="177"/>
      <c r="M73" s="177"/>
    </row>
    <row r="74" spans="2:13" ht="30" customHeight="1">
      <c r="B74" s="177"/>
      <c r="C74" s="177"/>
      <c r="D74" s="177"/>
      <c r="E74" s="177"/>
      <c r="F74" s="177"/>
      <c r="G74" s="177"/>
      <c r="H74" s="177"/>
      <c r="I74" s="177"/>
      <c r="J74" s="177"/>
      <c r="L74" s="177"/>
      <c r="M74" s="177"/>
    </row>
    <row r="75" spans="2:13" ht="30" customHeight="1">
      <c r="B75" s="177"/>
      <c r="C75" s="177"/>
      <c r="D75" s="177"/>
      <c r="E75" s="177"/>
      <c r="F75" s="177"/>
      <c r="G75" s="177"/>
      <c r="H75" s="177"/>
      <c r="I75" s="177"/>
      <c r="J75" s="177"/>
      <c r="L75" s="177"/>
      <c r="M75" s="177"/>
    </row>
    <row r="76" spans="2:13" ht="30" customHeight="1">
      <c r="B76" s="177"/>
      <c r="C76" s="177"/>
      <c r="D76" s="177"/>
      <c r="E76" s="177"/>
      <c r="F76" s="177"/>
      <c r="G76" s="177"/>
      <c r="H76" s="177"/>
      <c r="I76" s="177"/>
      <c r="J76" s="177"/>
      <c r="L76" s="177"/>
      <c r="M76" s="177"/>
    </row>
    <row r="77" spans="2:13" ht="30" customHeight="1">
      <c r="B77" s="177"/>
      <c r="C77" s="177"/>
      <c r="D77" s="177"/>
      <c r="E77" s="177"/>
      <c r="F77" s="177"/>
      <c r="G77" s="177"/>
      <c r="H77" s="177"/>
      <c r="I77" s="177"/>
      <c r="J77" s="177"/>
      <c r="L77" s="177"/>
      <c r="M77" s="177"/>
    </row>
    <row r="78" spans="2:13" ht="30" customHeight="1">
      <c r="B78" s="177"/>
      <c r="C78" s="177"/>
      <c r="D78" s="177"/>
      <c r="E78" s="177"/>
      <c r="F78" s="177"/>
      <c r="G78" s="177"/>
      <c r="H78" s="177"/>
      <c r="I78" s="177"/>
      <c r="J78" s="177"/>
      <c r="L78" s="177"/>
      <c r="M78" s="177"/>
    </row>
    <row r="79" spans="2:13" ht="30" customHeight="1">
      <c r="B79" s="177"/>
      <c r="C79" s="177"/>
      <c r="D79" s="177"/>
      <c r="E79" s="177"/>
      <c r="F79" s="177"/>
      <c r="G79" s="177"/>
      <c r="H79" s="177"/>
      <c r="I79" s="177"/>
      <c r="J79" s="177"/>
      <c r="L79" s="177"/>
      <c r="M79" s="177"/>
    </row>
    <row r="80" spans="2:13" ht="30" customHeight="1">
      <c r="B80" s="177"/>
      <c r="C80" s="177"/>
      <c r="D80" s="177"/>
      <c r="E80" s="177"/>
      <c r="F80" s="177"/>
      <c r="G80" s="177"/>
      <c r="H80" s="177"/>
      <c r="I80" s="177"/>
      <c r="J80" s="177"/>
      <c r="L80" s="177"/>
      <c r="M80" s="177"/>
    </row>
    <row r="81" spans="2:13" ht="30" customHeight="1">
      <c r="B81" s="177"/>
      <c r="C81" s="177"/>
      <c r="D81" s="177"/>
      <c r="E81" s="177"/>
      <c r="F81" s="177"/>
      <c r="G81" s="177"/>
      <c r="H81" s="177"/>
      <c r="I81" s="177"/>
      <c r="J81" s="177"/>
      <c r="L81" s="177"/>
      <c r="M81" s="177"/>
    </row>
    <row r="82" spans="2:13" ht="30" customHeight="1">
      <c r="B82" s="177"/>
      <c r="C82" s="177"/>
      <c r="D82" s="177"/>
      <c r="E82" s="177"/>
      <c r="F82" s="177"/>
      <c r="G82" s="177"/>
      <c r="H82" s="177"/>
      <c r="I82" s="177"/>
      <c r="J82" s="177"/>
      <c r="L82" s="177"/>
      <c r="M82" s="177"/>
    </row>
    <row r="83" spans="2:13" ht="30" customHeight="1">
      <c r="B83" s="177"/>
      <c r="C83" s="177"/>
      <c r="D83" s="177"/>
      <c r="E83" s="177"/>
      <c r="F83" s="177"/>
      <c r="G83" s="177"/>
      <c r="H83" s="177"/>
      <c r="I83" s="177"/>
      <c r="J83" s="177"/>
      <c r="L83" s="177"/>
      <c r="M83" s="177"/>
    </row>
    <row r="84" spans="2:13" ht="30" customHeight="1">
      <c r="B84" s="177"/>
      <c r="C84" s="177"/>
      <c r="D84" s="177"/>
      <c r="E84" s="177"/>
      <c r="F84" s="177"/>
      <c r="G84" s="177"/>
      <c r="H84" s="177"/>
      <c r="I84" s="177"/>
      <c r="J84" s="177"/>
      <c r="L84" s="177"/>
      <c r="M84" s="177"/>
    </row>
    <row r="85" spans="2:13" ht="30" customHeight="1">
      <c r="B85" s="177"/>
      <c r="C85" s="177"/>
      <c r="D85" s="177"/>
      <c r="E85" s="177"/>
      <c r="F85" s="177"/>
      <c r="G85" s="177"/>
      <c r="H85" s="177"/>
      <c r="I85" s="177"/>
      <c r="J85" s="177"/>
      <c r="L85" s="177"/>
      <c r="M85" s="177"/>
    </row>
    <row r="86" spans="2:13" ht="30" customHeight="1">
      <c r="B86" s="177"/>
      <c r="C86" s="177"/>
      <c r="D86" s="177"/>
      <c r="E86" s="177"/>
      <c r="F86" s="177"/>
      <c r="G86" s="177"/>
      <c r="H86" s="177"/>
      <c r="I86" s="177"/>
      <c r="J86" s="177"/>
      <c r="L86" s="177"/>
      <c r="M86" s="177"/>
    </row>
    <row r="87" spans="2:13" ht="30" customHeight="1">
      <c r="B87" s="177"/>
      <c r="C87" s="177"/>
      <c r="D87" s="177"/>
      <c r="E87" s="177"/>
      <c r="F87" s="177"/>
      <c r="G87" s="177"/>
      <c r="H87" s="177"/>
      <c r="I87" s="177"/>
      <c r="J87" s="177"/>
      <c r="L87" s="177"/>
      <c r="M87" s="177"/>
    </row>
    <row r="88" spans="2:13" ht="30" customHeight="1">
      <c r="B88" s="177"/>
      <c r="C88" s="177"/>
      <c r="D88" s="177"/>
      <c r="E88" s="177"/>
      <c r="F88" s="177"/>
      <c r="G88" s="177"/>
      <c r="H88" s="177"/>
      <c r="I88" s="177"/>
      <c r="J88" s="177"/>
      <c r="L88" s="177"/>
      <c r="M88" s="177"/>
    </row>
    <row r="89" spans="2:13" ht="30" customHeight="1">
      <c r="B89" s="177"/>
      <c r="C89" s="177"/>
      <c r="D89" s="177"/>
      <c r="E89" s="177"/>
      <c r="F89" s="177"/>
      <c r="G89" s="177"/>
      <c r="H89" s="177"/>
      <c r="I89" s="177"/>
      <c r="J89" s="177"/>
      <c r="L89" s="177"/>
      <c r="M89" s="177"/>
    </row>
    <row r="90" spans="2:13" ht="30" customHeight="1">
      <c r="B90" s="177"/>
      <c r="C90" s="177"/>
      <c r="D90" s="177"/>
      <c r="E90" s="177"/>
      <c r="F90" s="177"/>
      <c r="G90" s="177"/>
      <c r="H90" s="177"/>
      <c r="I90" s="177"/>
      <c r="J90" s="177"/>
      <c r="L90" s="177"/>
      <c r="M90" s="177"/>
    </row>
    <row r="91" spans="2:13" ht="30" customHeight="1">
      <c r="B91" s="177"/>
      <c r="C91" s="177"/>
      <c r="D91" s="177"/>
      <c r="E91" s="177"/>
      <c r="F91" s="177"/>
      <c r="G91" s="177"/>
      <c r="H91" s="177"/>
      <c r="I91" s="177"/>
      <c r="J91" s="177"/>
      <c r="L91" s="177"/>
      <c r="M91" s="177"/>
    </row>
    <row r="92" spans="2:13" ht="30" customHeight="1">
      <c r="B92" s="177"/>
      <c r="C92" s="177"/>
      <c r="D92" s="177"/>
      <c r="E92" s="177"/>
      <c r="F92" s="177"/>
      <c r="G92" s="177"/>
      <c r="H92" s="177"/>
      <c r="I92" s="177"/>
      <c r="J92" s="177"/>
      <c r="L92" s="177"/>
      <c r="M92" s="177"/>
    </row>
    <row r="93" spans="2:13" ht="30" customHeight="1">
      <c r="B93" s="177"/>
      <c r="C93" s="177"/>
      <c r="D93" s="177"/>
      <c r="E93" s="177"/>
      <c r="F93" s="177"/>
      <c r="G93" s="177"/>
      <c r="H93" s="177"/>
      <c r="I93" s="177"/>
      <c r="J93" s="177"/>
      <c r="L93" s="177"/>
      <c r="M93" s="177"/>
    </row>
    <row r="94" spans="2:13" ht="30" customHeight="1">
      <c r="B94" s="177"/>
      <c r="C94" s="177"/>
      <c r="D94" s="177"/>
      <c r="E94" s="177"/>
      <c r="F94" s="177"/>
      <c r="G94" s="177"/>
      <c r="H94" s="177"/>
      <c r="I94" s="177"/>
      <c r="J94" s="177"/>
      <c r="L94" s="177"/>
      <c r="M94" s="177"/>
    </row>
    <row r="95" spans="2:13" ht="30" customHeight="1">
      <c r="B95" s="177"/>
      <c r="C95" s="177"/>
      <c r="D95" s="177"/>
      <c r="E95" s="177"/>
      <c r="F95" s="177"/>
      <c r="G95" s="177"/>
      <c r="H95" s="177"/>
      <c r="I95" s="177"/>
      <c r="J95" s="177"/>
      <c r="L95" s="177"/>
      <c r="M95" s="177"/>
    </row>
    <row r="96" spans="2:13" ht="30" customHeight="1">
      <c r="B96" s="177"/>
      <c r="C96" s="177"/>
      <c r="D96" s="177"/>
      <c r="E96" s="177"/>
      <c r="F96" s="177"/>
      <c r="G96" s="177"/>
      <c r="H96" s="177"/>
      <c r="I96" s="177"/>
      <c r="J96" s="177"/>
      <c r="L96" s="177"/>
      <c r="M96" s="177"/>
    </row>
    <row r="97" spans="2:13" ht="30" customHeight="1">
      <c r="B97" s="177"/>
      <c r="C97" s="177"/>
      <c r="D97" s="177"/>
      <c r="E97" s="177"/>
      <c r="F97" s="177"/>
      <c r="G97" s="177"/>
      <c r="H97" s="177"/>
      <c r="I97" s="177"/>
      <c r="J97" s="177"/>
      <c r="L97" s="177"/>
      <c r="M97" s="177"/>
    </row>
    <row r="98" spans="2:13" ht="30" customHeight="1">
      <c r="B98" s="177"/>
      <c r="C98" s="177"/>
      <c r="D98" s="177"/>
      <c r="E98" s="177"/>
      <c r="F98" s="177"/>
      <c r="G98" s="177"/>
      <c r="H98" s="177"/>
      <c r="I98" s="177"/>
      <c r="J98" s="177"/>
      <c r="L98" s="177"/>
      <c r="M98" s="177"/>
    </row>
    <row r="99" spans="2:13" ht="30" customHeight="1">
      <c r="B99" s="177"/>
      <c r="C99" s="177"/>
      <c r="D99" s="177"/>
      <c r="E99" s="177"/>
      <c r="F99" s="177"/>
      <c r="G99" s="177"/>
      <c r="H99" s="177"/>
      <c r="I99" s="177"/>
      <c r="J99" s="177"/>
      <c r="L99" s="177"/>
      <c r="M99" s="177"/>
    </row>
    <row r="100" spans="2:13" ht="30" customHeight="1">
      <c r="B100" s="177"/>
      <c r="C100" s="177"/>
      <c r="D100" s="177"/>
      <c r="E100" s="177"/>
      <c r="F100" s="177"/>
      <c r="G100" s="177"/>
      <c r="H100" s="177"/>
      <c r="I100" s="177"/>
      <c r="J100" s="177"/>
      <c r="L100" s="177"/>
      <c r="M100" s="177"/>
    </row>
    <row r="101" spans="2:13" ht="30" customHeight="1">
      <c r="B101" s="177"/>
      <c r="C101" s="177"/>
      <c r="D101" s="177"/>
      <c r="E101" s="177"/>
      <c r="F101" s="177"/>
      <c r="G101" s="177"/>
      <c r="H101" s="177"/>
      <c r="I101" s="177"/>
      <c r="J101" s="177"/>
      <c r="L101" s="177"/>
      <c r="M101" s="177"/>
    </row>
    <row r="102" spans="2:13" ht="30" customHeight="1">
      <c r="B102" s="177"/>
      <c r="C102" s="177"/>
      <c r="D102" s="177"/>
      <c r="E102" s="177"/>
      <c r="F102" s="177"/>
      <c r="G102" s="177"/>
      <c r="H102" s="177"/>
      <c r="I102" s="177"/>
      <c r="J102" s="177"/>
      <c r="L102" s="177"/>
      <c r="M102" s="177"/>
    </row>
    <row r="103" spans="2:13" ht="30" customHeight="1">
      <c r="B103" s="177"/>
      <c r="C103" s="177"/>
      <c r="D103" s="177"/>
      <c r="E103" s="177"/>
      <c r="F103" s="177"/>
      <c r="G103" s="177"/>
      <c r="H103" s="177"/>
      <c r="I103" s="177"/>
      <c r="J103" s="177"/>
      <c r="L103" s="177"/>
      <c r="M103" s="177"/>
    </row>
    <row r="430" ht="23.25" customHeight="1"/>
  </sheetData>
  <mergeCells count="69">
    <mergeCell ref="C26:I26"/>
    <mergeCell ref="C6:E6"/>
    <mergeCell ref="C7:E7"/>
    <mergeCell ref="H6:I6"/>
    <mergeCell ref="C18:E18"/>
    <mergeCell ref="C19:E19"/>
    <mergeCell ref="C15:E15"/>
    <mergeCell ref="C13:E13"/>
    <mergeCell ref="C14:E14"/>
    <mergeCell ref="H11:I11"/>
    <mergeCell ref="H12:I12"/>
    <mergeCell ref="F20:G20"/>
    <mergeCell ref="H23:I23"/>
    <mergeCell ref="H18:I18"/>
    <mergeCell ref="C11:E11"/>
    <mergeCell ref="C12:E12"/>
    <mergeCell ref="C1:J1"/>
    <mergeCell ref="C2:E3"/>
    <mergeCell ref="C9:E9"/>
    <mergeCell ref="C10:E10"/>
    <mergeCell ref="F9:G9"/>
    <mergeCell ref="F10:G10"/>
    <mergeCell ref="F8:G8"/>
    <mergeCell ref="H2:I3"/>
    <mergeCell ref="F2:G3"/>
    <mergeCell ref="C8:E8"/>
    <mergeCell ref="H4:I4"/>
    <mergeCell ref="H5:I5"/>
    <mergeCell ref="F7:G7"/>
    <mergeCell ref="F5:G5"/>
    <mergeCell ref="C4:E4"/>
    <mergeCell ref="C5:E5"/>
    <mergeCell ref="H16:I16"/>
    <mergeCell ref="H15:I15"/>
    <mergeCell ref="H13:I13"/>
    <mergeCell ref="H14:I14"/>
    <mergeCell ref="H7:I7"/>
    <mergeCell ref="H8:I8"/>
    <mergeCell ref="H10:I10"/>
    <mergeCell ref="H9:I9"/>
    <mergeCell ref="C16:E16"/>
    <mergeCell ref="C17:E17"/>
    <mergeCell ref="C20:E20"/>
    <mergeCell ref="F4:G4"/>
    <mergeCell ref="F16:G16"/>
    <mergeCell ref="F13:G13"/>
    <mergeCell ref="F6:G6"/>
    <mergeCell ref="F15:G15"/>
    <mergeCell ref="F14:G14"/>
    <mergeCell ref="F11:G11"/>
    <mergeCell ref="F12:G12"/>
    <mergeCell ref="H19:I19"/>
    <mergeCell ref="H20:I20"/>
    <mergeCell ref="C21:E21"/>
    <mergeCell ref="H17:I17"/>
    <mergeCell ref="F18:G18"/>
    <mergeCell ref="F19:G19"/>
    <mergeCell ref="F17:G17"/>
    <mergeCell ref="F21:G21"/>
    <mergeCell ref="C25:I25"/>
    <mergeCell ref="H21:I21"/>
    <mergeCell ref="F22:G22"/>
    <mergeCell ref="H22:I22"/>
    <mergeCell ref="C22:E22"/>
    <mergeCell ref="C23:E23"/>
    <mergeCell ref="F24:G24"/>
    <mergeCell ref="H24:I24"/>
    <mergeCell ref="F23:G23"/>
    <mergeCell ref="C24:E24"/>
  </mergeCells>
  <phoneticPr fontId="17" type="noConversion"/>
  <printOptions horizontalCentered="1" verticalCentered="1"/>
  <pageMargins left="0.75" right="0.75" top="1" bottom="1" header="0.5" footer="0.5"/>
  <pageSetup scale="61" orientation="portrait" r:id="rId1"/>
  <headerFooter alignWithMargins="0"/>
  <colBreaks count="1" manualBreakCount="1">
    <brk id="11"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002060"/>
  </sheetPr>
  <dimension ref="B1:AB433"/>
  <sheetViews>
    <sheetView view="pageBreakPreview" zoomScale="64" zoomScaleNormal="100" zoomScaleSheetLayoutView="64" workbookViewId="0">
      <selection activeCell="J28" sqref="J28"/>
    </sheetView>
  </sheetViews>
  <sheetFormatPr defaultColWidth="9.140625" defaultRowHeight="14.1" customHeight="1"/>
  <cols>
    <col min="1" max="1" width="9.140625" style="272"/>
    <col min="2" max="2" width="3" style="272" customWidth="1"/>
    <col min="3" max="3" width="19.42578125" style="272" customWidth="1"/>
    <col min="4" max="4" width="10" style="272" customWidth="1"/>
    <col min="5" max="5" width="8.5703125" style="299" customWidth="1"/>
    <col min="6" max="6" width="8.140625" style="272" customWidth="1"/>
    <col min="7" max="7" width="9.85546875" style="299" customWidth="1"/>
    <col min="8" max="8" width="8.140625" style="272" customWidth="1"/>
    <col min="9" max="9" width="12.42578125" style="272" customWidth="1"/>
    <col min="10" max="10" width="12" style="272" customWidth="1"/>
    <col min="11" max="11" width="13.42578125" style="272" customWidth="1"/>
    <col min="12" max="12" width="9.5703125" style="272" hidden="1" customWidth="1"/>
    <col min="13" max="13" width="1.28515625" style="272" hidden="1" customWidth="1"/>
    <col min="14" max="21" width="9.140625" style="272" hidden="1" customWidth="1"/>
    <col min="22" max="22" width="4" style="272" customWidth="1"/>
    <col min="23" max="16384" width="9.140625" style="272"/>
  </cols>
  <sheetData>
    <row r="1" spans="2:22" ht="21.75" customHeight="1" thickBot="1">
      <c r="B1" s="1942" t="s">
        <v>1538</v>
      </c>
      <c r="C1" s="1940"/>
      <c r="D1" s="1940"/>
      <c r="E1" s="1940"/>
      <c r="F1" s="1940"/>
      <c r="G1" s="1940"/>
      <c r="H1" s="1940"/>
      <c r="I1" s="1940"/>
      <c r="J1" s="1940"/>
      <c r="K1" s="1940"/>
      <c r="L1" s="1940"/>
      <c r="M1" s="1940"/>
      <c r="N1" s="1940"/>
      <c r="O1" s="1940"/>
      <c r="P1" s="1940"/>
      <c r="Q1" s="1940"/>
      <c r="R1" s="1940"/>
      <c r="S1" s="1940"/>
      <c r="T1" s="1940"/>
      <c r="U1" s="1940"/>
      <c r="V1" s="1941"/>
    </row>
    <row r="2" spans="2:22" ht="14.1" customHeight="1" thickBot="1">
      <c r="B2" s="941"/>
      <c r="C2" s="274"/>
      <c r="D2" s="274"/>
      <c r="E2" s="275"/>
      <c r="F2" s="274"/>
      <c r="G2" s="275"/>
      <c r="H2" s="274"/>
      <c r="I2" s="274"/>
      <c r="J2" s="274"/>
      <c r="K2" s="980" t="s">
        <v>84</v>
      </c>
      <c r="L2" s="276"/>
      <c r="M2" s="276"/>
      <c r="N2" s="276"/>
      <c r="O2" s="276"/>
      <c r="P2" s="276"/>
      <c r="Q2" s="276"/>
      <c r="R2" s="276"/>
      <c r="S2" s="276"/>
      <c r="T2" s="276"/>
      <c r="U2" s="276"/>
      <c r="V2" s="942"/>
    </row>
    <row r="3" spans="2:22" ht="15.75" customHeight="1">
      <c r="B3" s="941"/>
      <c r="C3" s="1943" t="s">
        <v>85</v>
      </c>
      <c r="D3" s="1945" t="s">
        <v>405</v>
      </c>
      <c r="E3" s="1945"/>
      <c r="F3" s="1945"/>
      <c r="G3" s="1945"/>
      <c r="H3" s="1945" t="s">
        <v>411</v>
      </c>
      <c r="I3" s="1947" t="s">
        <v>86</v>
      </c>
      <c r="J3" s="1947" t="s">
        <v>1219</v>
      </c>
      <c r="K3" s="1949" t="s">
        <v>406</v>
      </c>
      <c r="L3" s="276"/>
      <c r="M3" s="276"/>
      <c r="N3" s="276"/>
      <c r="O3" s="276"/>
      <c r="P3" s="276"/>
      <c r="Q3" s="276"/>
      <c r="R3" s="276"/>
      <c r="S3" s="276"/>
      <c r="T3" s="276"/>
      <c r="U3" s="276"/>
      <c r="V3" s="942"/>
    </row>
    <row r="4" spans="2:22" ht="18.75" customHeight="1">
      <c r="B4" s="941"/>
      <c r="C4" s="1944"/>
      <c r="D4" s="936" t="s">
        <v>408</v>
      </c>
      <c r="E4" s="278" t="s">
        <v>87</v>
      </c>
      <c r="F4" s="936" t="s">
        <v>410</v>
      </c>
      <c r="G4" s="278" t="s">
        <v>406</v>
      </c>
      <c r="H4" s="1946"/>
      <c r="I4" s="1948"/>
      <c r="J4" s="1948"/>
      <c r="K4" s="1950"/>
      <c r="L4" s="276"/>
      <c r="M4" s="276"/>
      <c r="N4" s="276"/>
      <c r="O4" s="276"/>
      <c r="P4" s="276"/>
      <c r="Q4" s="276"/>
      <c r="R4" s="276"/>
      <c r="S4" s="276"/>
      <c r="T4" s="276"/>
      <c r="U4" s="276"/>
      <c r="V4" s="942"/>
    </row>
    <row r="5" spans="2:22" ht="21.75" customHeight="1">
      <c r="B5" s="941"/>
      <c r="C5" s="279" t="s">
        <v>88</v>
      </c>
      <c r="D5" s="280">
        <v>26310.83</v>
      </c>
      <c r="E5" s="281">
        <v>541.5</v>
      </c>
      <c r="F5" s="280">
        <v>177.37</v>
      </c>
      <c r="G5" s="281">
        <v>27029.7</v>
      </c>
      <c r="H5" s="280">
        <v>1095</v>
      </c>
      <c r="I5" s="280">
        <v>14460.02</v>
      </c>
      <c r="J5" s="280">
        <v>0</v>
      </c>
      <c r="K5" s="282">
        <v>42584.72</v>
      </c>
      <c r="L5" s="276"/>
      <c r="M5" s="276"/>
      <c r="N5" s="276"/>
      <c r="O5" s="276"/>
      <c r="P5" s="276"/>
      <c r="Q5" s="276"/>
      <c r="R5" s="276"/>
      <c r="S5" s="276"/>
      <c r="T5" s="276"/>
      <c r="U5" s="276"/>
      <c r="V5" s="942"/>
    </row>
    <row r="6" spans="2:22" ht="18" customHeight="1">
      <c r="B6" s="941"/>
      <c r="C6" s="279" t="s">
        <v>89</v>
      </c>
      <c r="D6" s="280">
        <v>41237.480000000003</v>
      </c>
      <c r="E6" s="281">
        <v>2343</v>
      </c>
      <c r="F6" s="280">
        <v>165.09</v>
      </c>
      <c r="G6" s="281">
        <v>43745.57</v>
      </c>
      <c r="H6" s="280">
        <v>1565</v>
      </c>
      <c r="I6" s="280">
        <v>18307.63</v>
      </c>
      <c r="J6" s="280">
        <v>18.14</v>
      </c>
      <c r="K6" s="282">
        <v>63636.34</v>
      </c>
      <c r="L6" s="276"/>
      <c r="M6" s="276"/>
      <c r="N6" s="276"/>
      <c r="O6" s="276"/>
      <c r="P6" s="276"/>
      <c r="Q6" s="276"/>
      <c r="R6" s="276"/>
      <c r="S6" s="276"/>
      <c r="T6" s="276"/>
      <c r="U6" s="276"/>
      <c r="V6" s="942"/>
    </row>
    <row r="7" spans="2:22" ht="20.25" customHeight="1">
      <c r="B7" s="941"/>
      <c r="C7" s="279" t="s">
        <v>90</v>
      </c>
      <c r="D7" s="280">
        <v>54154.48</v>
      </c>
      <c r="E7" s="281">
        <v>6561.9</v>
      </c>
      <c r="F7" s="280">
        <v>293.89999999999998</v>
      </c>
      <c r="G7" s="281">
        <v>61010.28</v>
      </c>
      <c r="H7" s="280">
        <v>2225</v>
      </c>
      <c r="I7" s="280">
        <v>21658.080000000002</v>
      </c>
      <c r="J7" s="280">
        <v>902.01</v>
      </c>
      <c r="K7" s="282">
        <v>85795.37</v>
      </c>
      <c r="L7" s="276"/>
      <c r="M7" s="276"/>
      <c r="N7" s="276"/>
      <c r="O7" s="276"/>
      <c r="P7" s="276"/>
      <c r="Q7" s="276"/>
      <c r="R7" s="276"/>
      <c r="S7" s="276"/>
      <c r="T7" s="276"/>
      <c r="U7" s="276"/>
      <c r="V7" s="942"/>
    </row>
    <row r="8" spans="2:22" ht="19.5" customHeight="1">
      <c r="B8" s="941"/>
      <c r="C8" s="279" t="s">
        <v>91</v>
      </c>
      <c r="D8" s="280">
        <v>62130.879999999997</v>
      </c>
      <c r="E8" s="281">
        <v>11163.1</v>
      </c>
      <c r="F8" s="280">
        <v>1134.83</v>
      </c>
      <c r="G8" s="281">
        <v>74428.81</v>
      </c>
      <c r="H8" s="280">
        <v>2720</v>
      </c>
      <c r="I8" s="280">
        <v>26268.76</v>
      </c>
      <c r="J8" s="280">
        <v>1628.39</v>
      </c>
      <c r="K8" s="282">
        <v>105045.96</v>
      </c>
      <c r="L8" s="276"/>
      <c r="M8" s="276"/>
      <c r="N8" s="276"/>
      <c r="O8" s="276"/>
      <c r="P8" s="276"/>
      <c r="Q8" s="276"/>
      <c r="R8" s="276"/>
      <c r="S8" s="276"/>
      <c r="T8" s="276"/>
      <c r="U8" s="276"/>
      <c r="V8" s="942"/>
    </row>
    <row r="9" spans="2:22" ht="20.25" customHeight="1">
      <c r="B9" s="941"/>
      <c r="C9" s="279" t="s">
        <v>92</v>
      </c>
      <c r="D9" s="280">
        <v>71121.38</v>
      </c>
      <c r="E9" s="281">
        <v>13691.71</v>
      </c>
      <c r="F9" s="280">
        <v>1201.75</v>
      </c>
      <c r="G9" s="281">
        <v>86014.84</v>
      </c>
      <c r="H9" s="280">
        <v>3900</v>
      </c>
      <c r="I9" s="280">
        <v>34653.769999999997</v>
      </c>
      <c r="J9" s="280">
        <v>7760.6</v>
      </c>
      <c r="K9" s="282">
        <v>132329.21</v>
      </c>
      <c r="L9" s="276"/>
      <c r="M9" s="276"/>
      <c r="N9" s="276"/>
      <c r="O9" s="276"/>
      <c r="P9" s="276"/>
      <c r="Q9" s="276"/>
      <c r="R9" s="276"/>
      <c r="S9" s="276"/>
      <c r="T9" s="276"/>
      <c r="U9" s="276"/>
      <c r="V9" s="942"/>
    </row>
    <row r="10" spans="2:22" ht="18" customHeight="1">
      <c r="B10" s="941"/>
      <c r="C10" s="279" t="s">
        <v>93</v>
      </c>
      <c r="D10" s="280">
        <v>112022.38</v>
      </c>
      <c r="E10" s="281">
        <v>18381.05</v>
      </c>
      <c r="F10" s="280">
        <v>1199.75</v>
      </c>
      <c r="G10" s="281">
        <v>131603.18</v>
      </c>
      <c r="H10" s="280">
        <v>4780</v>
      </c>
      <c r="I10" s="280">
        <v>38990.400000000001</v>
      </c>
      <c r="J10" s="280">
        <v>24503.45</v>
      </c>
      <c r="K10" s="282">
        <v>199877.03</v>
      </c>
      <c r="L10" s="276"/>
      <c r="M10" s="276"/>
      <c r="N10" s="276"/>
      <c r="O10" s="276"/>
      <c r="P10" s="276"/>
      <c r="Q10" s="276"/>
      <c r="R10" s="276"/>
      <c r="S10" s="276"/>
      <c r="T10" s="276"/>
      <c r="U10" s="276"/>
      <c r="V10" s="942"/>
    </row>
    <row r="11" spans="2:22" ht="18" customHeight="1">
      <c r="B11" s="941"/>
      <c r="C11" s="443" t="s">
        <v>629</v>
      </c>
      <c r="D11" s="444">
        <v>192162.88</v>
      </c>
      <c r="E11" s="445">
        <v>25329.38</v>
      </c>
      <c r="F11" s="444">
        <v>837.63</v>
      </c>
      <c r="G11" s="445">
        <v>218329.88</v>
      </c>
      <c r="H11" s="444">
        <v>6780</v>
      </c>
      <c r="I11" s="444">
        <v>44478.42</v>
      </c>
      <c r="J11" s="444">
        <v>50018</v>
      </c>
      <c r="K11" s="948">
        <v>319606.3</v>
      </c>
      <c r="L11" s="276"/>
      <c r="M11" s="276"/>
      <c r="N11" s="276"/>
      <c r="O11" s="276"/>
      <c r="P11" s="276"/>
      <c r="Q11" s="276"/>
      <c r="R11" s="276"/>
      <c r="S11" s="276"/>
      <c r="T11" s="276"/>
      <c r="U11" s="276"/>
      <c r="V11" s="942"/>
    </row>
    <row r="12" spans="2:22" ht="15.75" customHeight="1" thickBot="1">
      <c r="B12" s="941"/>
      <c r="C12" s="283" t="str">
        <f>"Up to" &amp;TEXT(TY," mmm-yyyy")</f>
        <v>Up to Jun-2021</v>
      </c>
      <c r="D12" s="284">
        <f>'14-19'!D36+'14-19'!E36</f>
        <v>208624.5</v>
      </c>
      <c r="E12" s="284">
        <f>'14-19'!F36</f>
        <v>24924.008999999998</v>
      </c>
      <c r="F12" s="284">
        <f>'14-19'!G36</f>
        <v>509.70900000000006</v>
      </c>
      <c r="G12" s="284">
        <f>'14-19'!H36</f>
        <v>234058.21800000002</v>
      </c>
      <c r="H12" s="284">
        <f>'14-19'!I36</f>
        <v>6780</v>
      </c>
      <c r="I12" s="284">
        <f>'14-19'!J36</f>
        <v>46322.22</v>
      </c>
      <c r="J12" s="284">
        <f>'14-19'!K36</f>
        <v>96955.50499999999</v>
      </c>
      <c r="K12" s="949">
        <f>'14-19'!L36</f>
        <v>384115.94299999997</v>
      </c>
      <c r="L12" s="947">
        <f>'14-19'!M36</f>
        <v>0</v>
      </c>
      <c r="M12" s="284">
        <f>'14-19'!N36</f>
        <v>0</v>
      </c>
      <c r="N12" s="284">
        <f>'14-19'!O36</f>
        <v>0</v>
      </c>
      <c r="O12" s="284">
        <f>'14-19'!P36</f>
        <v>0</v>
      </c>
      <c r="P12" s="284">
        <f>'14-19'!Q36</f>
        <v>0</v>
      </c>
      <c r="Q12" s="284">
        <f>'14-19'!R36</f>
        <v>0</v>
      </c>
      <c r="R12" s="284">
        <f>'14-19'!S36</f>
        <v>0</v>
      </c>
      <c r="S12" s="284">
        <f>'14-19'!T36</f>
        <v>0</v>
      </c>
      <c r="T12" s="284">
        <f>'14-19'!U36</f>
        <v>0</v>
      </c>
      <c r="U12" s="284">
        <f>'14-19'!V36</f>
        <v>0</v>
      </c>
      <c r="V12" s="942"/>
    </row>
    <row r="13" spans="2:22" ht="19.5" customHeight="1">
      <c r="B13" s="941"/>
      <c r="C13" s="285" t="s">
        <v>1035</v>
      </c>
      <c r="D13" s="286"/>
      <c r="E13" s="287"/>
      <c r="F13" s="288"/>
      <c r="G13" s="287"/>
      <c r="H13" s="288"/>
      <c r="I13" s="288"/>
      <c r="J13" s="262"/>
      <c r="K13" s="260"/>
      <c r="L13" s="380"/>
      <c r="M13" s="381"/>
      <c r="N13" s="381"/>
      <c r="O13" s="381"/>
      <c r="P13" s="381"/>
      <c r="Q13" s="381"/>
      <c r="R13" s="381"/>
      <c r="S13" s="381"/>
      <c r="T13" s="381"/>
      <c r="U13" s="381"/>
      <c r="V13" s="943"/>
    </row>
    <row r="14" spans="2:22" ht="14.1" customHeight="1">
      <c r="B14" s="941"/>
      <c r="C14" s="292" t="str">
        <f>"*RES as on "&amp;TEXT( EOMONTH(TY,0)," dd-mm-yyyy")</f>
        <v>*RES as on  30-06-2021</v>
      </c>
      <c r="D14" s="260"/>
      <c r="E14" s="261"/>
      <c r="F14" s="260"/>
      <c r="G14" s="261"/>
      <c r="H14" s="260"/>
      <c r="I14" s="260"/>
      <c r="J14" s="260"/>
      <c r="K14" s="260"/>
      <c r="L14" s="380"/>
      <c r="M14" s="381"/>
      <c r="N14" s="381"/>
      <c r="O14" s="381"/>
      <c r="P14" s="381"/>
      <c r="Q14" s="381"/>
      <c r="R14" s="381"/>
      <c r="S14" s="381"/>
      <c r="T14" s="381"/>
      <c r="U14" s="381"/>
      <c r="V14" s="943"/>
    </row>
    <row r="15" spans="2:22" ht="14.1" customHeight="1">
      <c r="B15" s="941"/>
      <c r="C15" s="382"/>
      <c r="D15" s="260"/>
      <c r="E15" s="261"/>
      <c r="F15" s="260"/>
      <c r="G15" s="261"/>
      <c r="H15" s="260"/>
      <c r="I15" s="260"/>
      <c r="J15" s="260"/>
      <c r="K15" s="260"/>
      <c r="L15" s="260"/>
      <c r="M15" s="276"/>
      <c r="N15" s="276"/>
      <c r="O15" s="276"/>
      <c r="P15" s="276"/>
      <c r="Q15" s="276"/>
      <c r="R15" s="276"/>
      <c r="S15" s="276"/>
      <c r="T15" s="276"/>
      <c r="U15" s="276"/>
      <c r="V15" s="942"/>
    </row>
    <row r="16" spans="2:22" ht="14.1" customHeight="1">
      <c r="B16" s="941"/>
      <c r="C16" s="289"/>
      <c r="D16" s="260"/>
      <c r="E16" s="261"/>
      <c r="F16" s="260"/>
      <c r="G16" s="261"/>
      <c r="H16" s="260"/>
      <c r="I16" s="260"/>
      <c r="J16" s="260"/>
      <c r="K16" s="260"/>
      <c r="L16" s="260"/>
      <c r="M16" s="276"/>
      <c r="N16" s="276"/>
      <c r="O16" s="276"/>
      <c r="P16" s="276"/>
      <c r="Q16" s="276"/>
      <c r="R16" s="276"/>
      <c r="S16" s="276"/>
      <c r="T16" s="276"/>
      <c r="U16" s="276"/>
      <c r="V16" s="942"/>
    </row>
    <row r="17" spans="2:22" s="276" customFormat="1" ht="9" customHeight="1" thickBot="1">
      <c r="B17" s="941"/>
      <c r="C17" s="289"/>
      <c r="D17" s="260"/>
      <c r="E17" s="261"/>
      <c r="F17" s="260"/>
      <c r="G17" s="261"/>
      <c r="H17" s="260"/>
      <c r="I17" s="260"/>
      <c r="J17" s="260"/>
      <c r="K17" s="260"/>
      <c r="L17" s="260"/>
      <c r="V17" s="942"/>
    </row>
    <row r="18" spans="2:22" s="276" customFormat="1" ht="24" customHeight="1" thickBot="1">
      <c r="B18" s="1939"/>
      <c r="C18" s="1940"/>
      <c r="D18" s="1940"/>
      <c r="E18" s="1940"/>
      <c r="F18" s="1940"/>
      <c r="G18" s="1940"/>
      <c r="H18" s="1940"/>
      <c r="I18" s="1940"/>
      <c r="J18" s="1940"/>
      <c r="K18" s="1940"/>
      <c r="L18" s="1940"/>
      <c r="M18" s="1940"/>
      <c r="N18" s="1940"/>
      <c r="O18" s="1940"/>
      <c r="P18" s="1940"/>
      <c r="Q18" s="1940"/>
      <c r="R18" s="1940"/>
      <c r="S18" s="1940"/>
      <c r="T18" s="1940"/>
      <c r="U18" s="1940"/>
      <c r="V18" s="1941"/>
    </row>
    <row r="19" spans="2:22" s="276" customFormat="1" ht="41.25" customHeight="1">
      <c r="B19" s="944">
        <v>43132</v>
      </c>
      <c r="C19" s="417"/>
      <c r="D19" s="417"/>
      <c r="E19" s="418"/>
      <c r="F19" s="417"/>
      <c r="G19" s="418"/>
      <c r="H19" s="417"/>
      <c r="I19" s="417"/>
      <c r="J19" s="417"/>
      <c r="K19" s="417"/>
      <c r="V19" s="942"/>
    </row>
    <row r="20" spans="2:22" s="276" customFormat="1" ht="14.1" customHeight="1">
      <c r="B20" s="941"/>
      <c r="E20" s="290"/>
      <c r="G20" s="290"/>
      <c r="V20" s="942"/>
    </row>
    <row r="21" spans="2:22" s="276" customFormat="1" ht="14.1" customHeight="1">
      <c r="B21" s="941"/>
      <c r="E21" s="290"/>
      <c r="G21" s="290"/>
      <c r="V21" s="942"/>
    </row>
    <row r="22" spans="2:22" s="276" customFormat="1" ht="14.1" customHeight="1">
      <c r="B22" s="941"/>
      <c r="E22" s="290"/>
      <c r="G22" s="290"/>
      <c r="V22" s="942"/>
    </row>
    <row r="23" spans="2:22" s="276" customFormat="1" ht="14.1" customHeight="1">
      <c r="B23" s="941"/>
      <c r="E23" s="290"/>
      <c r="G23" s="290"/>
      <c r="V23" s="942"/>
    </row>
    <row r="24" spans="2:22" s="276" customFormat="1" ht="14.1" customHeight="1">
      <c r="B24" s="941"/>
      <c r="E24" s="290"/>
      <c r="G24" s="290"/>
      <c r="V24" s="942"/>
    </row>
    <row r="25" spans="2:22" s="276" customFormat="1" ht="14.1" customHeight="1">
      <c r="B25" s="941"/>
      <c r="E25" s="290"/>
      <c r="G25" s="290"/>
      <c r="V25" s="942"/>
    </row>
    <row r="26" spans="2:22" s="276" customFormat="1" ht="14.1" customHeight="1">
      <c r="B26" s="941"/>
      <c r="E26" s="290"/>
      <c r="G26" s="290"/>
      <c r="V26" s="942"/>
    </row>
    <row r="27" spans="2:22" s="276" customFormat="1" ht="14.1" customHeight="1">
      <c r="B27" s="941"/>
      <c r="E27" s="290"/>
      <c r="G27" s="290"/>
      <c r="V27" s="942"/>
    </row>
    <row r="28" spans="2:22" s="276" customFormat="1" ht="14.1" customHeight="1">
      <c r="B28" s="941"/>
      <c r="E28" s="290"/>
      <c r="G28" s="290"/>
      <c r="V28" s="942"/>
    </row>
    <row r="29" spans="2:22" s="276" customFormat="1" ht="14.1" customHeight="1">
      <c r="B29" s="941"/>
      <c r="E29" s="290"/>
      <c r="G29" s="290"/>
      <c r="V29" s="942"/>
    </row>
    <row r="30" spans="2:22" s="276" customFormat="1" ht="14.1" customHeight="1">
      <c r="B30" s="941"/>
      <c r="E30" s="290"/>
      <c r="G30" s="290"/>
      <c r="V30" s="942"/>
    </row>
    <row r="31" spans="2:22" s="276" customFormat="1" ht="14.1" customHeight="1">
      <c r="B31" s="941"/>
      <c r="D31" s="276" t="s">
        <v>623</v>
      </c>
      <c r="E31" s="290"/>
      <c r="G31" s="290"/>
      <c r="V31" s="942"/>
    </row>
    <row r="32" spans="2:22" s="276" customFormat="1" ht="14.1" customHeight="1">
      <c r="B32" s="941"/>
      <c r="E32" s="290"/>
      <c r="G32" s="290"/>
      <c r="V32" s="942"/>
    </row>
    <row r="33" spans="2:28" s="276" customFormat="1" ht="14.1" customHeight="1" thickBot="1">
      <c r="B33" s="945"/>
      <c r="C33" s="274"/>
      <c r="D33" s="274"/>
      <c r="E33" s="275"/>
      <c r="F33" s="274"/>
      <c r="G33" s="275"/>
      <c r="H33" s="274"/>
      <c r="I33" s="274"/>
      <c r="J33" s="274"/>
      <c r="K33" s="274"/>
      <c r="L33" s="274"/>
      <c r="M33" s="274"/>
      <c r="N33" s="274"/>
      <c r="O33" s="274"/>
      <c r="P33" s="274"/>
      <c r="Q33" s="274"/>
      <c r="R33" s="274"/>
      <c r="S33" s="274"/>
      <c r="T33" s="274"/>
      <c r="U33" s="274"/>
      <c r="V33" s="1505">
        <v>29</v>
      </c>
    </row>
    <row r="34" spans="2:28" s="276" customFormat="1" ht="14.1" customHeight="1">
      <c r="B34" s="273"/>
      <c r="E34" s="290"/>
      <c r="G34" s="290"/>
      <c r="V34" s="277"/>
    </row>
    <row r="35" spans="2:28" s="276" customFormat="1" ht="14.1" customHeight="1">
      <c r="B35" s="273"/>
      <c r="E35" s="290"/>
      <c r="G35" s="290"/>
      <c r="V35" s="277"/>
    </row>
    <row r="36" spans="2:28" s="276" customFormat="1" ht="14.1" customHeight="1">
      <c r="B36" s="273"/>
      <c r="E36" s="290"/>
      <c r="G36" s="290"/>
      <c r="V36" s="277"/>
    </row>
    <row r="37" spans="2:28" s="276" customFormat="1" ht="14.1" customHeight="1">
      <c r="B37" s="273"/>
      <c r="E37" s="290"/>
      <c r="G37" s="290"/>
      <c r="V37" s="277"/>
    </row>
    <row r="38" spans="2:28" s="276" customFormat="1" ht="14.1" customHeight="1">
      <c r="B38" s="273"/>
      <c r="E38" s="290"/>
      <c r="G38" s="290"/>
      <c r="V38" s="277"/>
    </row>
    <row r="39" spans="2:28" s="276" customFormat="1" ht="14.1" customHeight="1">
      <c r="B39" s="273"/>
      <c r="E39" s="290"/>
      <c r="G39" s="290"/>
      <c r="V39" s="277"/>
    </row>
    <row r="40" spans="2:28" s="276" customFormat="1" ht="14.1" customHeight="1">
      <c r="B40" s="273"/>
      <c r="E40" s="290"/>
      <c r="G40" s="290"/>
      <c r="V40" s="277"/>
    </row>
    <row r="41" spans="2:28" s="276" customFormat="1" ht="14.1" customHeight="1">
      <c r="B41" s="273"/>
      <c r="C41" s="388"/>
      <c r="D41" s="938" t="s">
        <v>1192</v>
      </c>
      <c r="E41" s="939" t="s">
        <v>1193</v>
      </c>
      <c r="F41" s="938" t="s">
        <v>1194</v>
      </c>
      <c r="G41" s="939" t="s">
        <v>754</v>
      </c>
      <c r="H41" s="940" t="s">
        <v>753</v>
      </c>
      <c r="I41" s="937" t="s">
        <v>447</v>
      </c>
      <c r="J41" s="291" t="s">
        <v>406</v>
      </c>
      <c r="K41" s="291"/>
      <c r="V41" s="277"/>
    </row>
    <row r="42" spans="2:28" ht="15.75" customHeight="1">
      <c r="B42" s="273"/>
      <c r="C42" s="388"/>
      <c r="D42" s="388">
        <f>D12</f>
        <v>208624.5</v>
      </c>
      <c r="E42" s="389">
        <f>E12</f>
        <v>24924.008999999998</v>
      </c>
      <c r="F42" s="388">
        <f>F12</f>
        <v>509.70900000000006</v>
      </c>
      <c r="G42" s="389">
        <f>H12</f>
        <v>6780</v>
      </c>
      <c r="H42" s="388">
        <f>I12</f>
        <v>46322.22</v>
      </c>
      <c r="I42" s="388">
        <f>J12</f>
        <v>96955.50499999999</v>
      </c>
      <c r="J42" s="291">
        <v>229251.74</v>
      </c>
      <c r="K42" s="291"/>
      <c r="L42" s="276"/>
      <c r="M42" s="276"/>
      <c r="N42" s="276"/>
      <c r="O42" s="276"/>
      <c r="P42" s="276"/>
      <c r="Q42" s="276"/>
      <c r="R42" s="276"/>
      <c r="S42" s="276"/>
      <c r="T42" s="276"/>
      <c r="U42" s="276"/>
      <c r="V42" s="277"/>
      <c r="Y42" s="925" t="s">
        <v>1196</v>
      </c>
      <c r="AB42" s="272" t="str">
        <f>CONCATENATE(Y42,,,K12)</f>
        <v>Total Installed Capacity =384115.943</v>
      </c>
    </row>
    <row r="43" spans="2:28" ht="13.5" customHeight="1">
      <c r="B43" s="273"/>
      <c r="C43" s="388"/>
      <c r="D43" s="388"/>
      <c r="E43" s="389"/>
      <c r="F43" s="388"/>
      <c r="G43" s="389"/>
      <c r="H43" s="388"/>
      <c r="I43" s="388"/>
      <c r="J43" s="291"/>
      <c r="K43" s="292"/>
      <c r="L43" s="276"/>
      <c r="M43" s="276"/>
      <c r="N43" s="276"/>
      <c r="O43" s="276"/>
      <c r="P43" s="276"/>
      <c r="Q43" s="276"/>
      <c r="R43" s="276"/>
      <c r="S43" s="276"/>
      <c r="T43" s="276"/>
      <c r="U43" s="276"/>
      <c r="V43" s="277"/>
    </row>
    <row r="44" spans="2:28" ht="14.1" customHeight="1">
      <c r="B44" s="273"/>
      <c r="C44" s="293"/>
      <c r="D44" s="293"/>
      <c r="E44" s="294"/>
      <c r="F44" s="293"/>
      <c r="G44" s="294"/>
      <c r="H44" s="293"/>
      <c r="I44" s="293"/>
      <c r="J44" s="293"/>
      <c r="K44" s="293"/>
      <c r="L44" s="276"/>
      <c r="M44" s="276"/>
      <c r="N44" s="276"/>
      <c r="O44" s="276"/>
      <c r="P44" s="276"/>
      <c r="Q44" s="276"/>
      <c r="R44" s="276"/>
      <c r="S44" s="276"/>
      <c r="T44" s="276"/>
      <c r="U44" s="276"/>
      <c r="V44" s="277"/>
    </row>
    <row r="45" spans="2:28" ht="14.1" customHeight="1">
      <c r="B45" s="273"/>
      <c r="C45" s="276"/>
      <c r="D45" s="276"/>
      <c r="E45" s="290"/>
      <c r="F45" s="276"/>
      <c r="G45" s="290"/>
      <c r="H45" s="276"/>
      <c r="I45" s="276"/>
      <c r="J45" s="276"/>
      <c r="K45" s="276"/>
      <c r="L45" s="276"/>
      <c r="M45" s="276"/>
      <c r="N45" s="276"/>
      <c r="O45" s="276"/>
      <c r="P45" s="276"/>
      <c r="Q45" s="276"/>
      <c r="R45" s="276"/>
      <c r="S45" s="276"/>
      <c r="T45" s="276"/>
      <c r="U45" s="276"/>
      <c r="V45" s="277"/>
    </row>
    <row r="46" spans="2:28" ht="14.1" customHeight="1">
      <c r="B46" s="273"/>
      <c r="C46" s="276"/>
      <c r="D46" s="276"/>
      <c r="E46" s="290"/>
      <c r="F46" s="276"/>
      <c r="G46" s="290"/>
      <c r="H46" s="276"/>
      <c r="I46" s="276"/>
      <c r="J46" s="276"/>
      <c r="K46" s="276"/>
      <c r="L46" s="276"/>
      <c r="M46" s="276"/>
      <c r="N46" s="276"/>
      <c r="O46" s="276"/>
      <c r="P46" s="276"/>
      <c r="Q46" s="276"/>
      <c r="R46" s="276"/>
      <c r="S46" s="276"/>
      <c r="T46" s="276"/>
      <c r="U46" s="276"/>
      <c r="V46" s="277"/>
    </row>
    <row r="47" spans="2:28" ht="14.1" customHeight="1">
      <c r="B47" s="273"/>
      <c r="C47" s="276"/>
      <c r="D47" s="276"/>
      <c r="E47" s="290"/>
      <c r="F47" s="276"/>
      <c r="G47" s="290"/>
      <c r="H47" s="276"/>
      <c r="I47" s="276"/>
      <c r="J47" s="276"/>
      <c r="K47" s="276"/>
      <c r="L47" s="276"/>
      <c r="M47" s="276"/>
      <c r="N47" s="276"/>
      <c r="O47" s="276"/>
      <c r="P47" s="276"/>
      <c r="Q47" s="276"/>
      <c r="R47" s="276"/>
      <c r="S47" s="276"/>
      <c r="T47" s="276"/>
      <c r="U47" s="276"/>
      <c r="V47" s="277"/>
    </row>
    <row r="48" spans="2:28" ht="14.1" customHeight="1">
      <c r="B48" s="273"/>
      <c r="C48" s="276"/>
      <c r="D48" s="276"/>
      <c r="E48" s="290"/>
      <c r="F48" s="276"/>
      <c r="G48" s="290"/>
      <c r="H48" s="276"/>
      <c r="I48" s="276"/>
      <c r="J48" s="276"/>
      <c r="K48" s="276"/>
      <c r="L48" s="276"/>
      <c r="M48" s="276"/>
      <c r="N48" s="276"/>
      <c r="O48" s="276"/>
      <c r="P48" s="276"/>
      <c r="Q48" s="276"/>
      <c r="R48" s="276"/>
      <c r="S48" s="276"/>
      <c r="T48" s="276"/>
      <c r="U48" s="276"/>
      <c r="V48" s="277"/>
    </row>
    <row r="49" spans="2:22" ht="21.75" customHeight="1">
      <c r="B49" s="273"/>
      <c r="C49" s="276"/>
      <c r="D49" s="276"/>
      <c r="E49" s="290"/>
      <c r="F49" s="276"/>
      <c r="G49" s="290"/>
      <c r="H49" s="276"/>
      <c r="I49" s="276"/>
      <c r="J49" s="276"/>
      <c r="K49" s="276"/>
      <c r="L49" s="276"/>
      <c r="M49" s="276"/>
      <c r="N49" s="276"/>
      <c r="O49" s="276"/>
      <c r="P49" s="276"/>
      <c r="Q49" s="276"/>
      <c r="R49" s="276"/>
      <c r="S49" s="276"/>
      <c r="T49" s="276"/>
      <c r="U49" s="276"/>
      <c r="V49" s="277"/>
    </row>
    <row r="50" spans="2:22" ht="14.1" customHeight="1" thickBot="1">
      <c r="B50" s="295"/>
      <c r="C50" s="296"/>
      <c r="D50" s="296"/>
      <c r="E50" s="297"/>
      <c r="F50" s="296"/>
      <c r="G50" s="297"/>
      <c r="H50" s="296"/>
      <c r="I50" s="296"/>
      <c r="J50" s="296"/>
      <c r="L50" s="296"/>
      <c r="M50" s="296"/>
      <c r="N50" s="296"/>
      <c r="O50" s="296"/>
      <c r="P50" s="296"/>
      <c r="Q50" s="296"/>
      <c r="R50" s="296"/>
      <c r="S50" s="296"/>
      <c r="T50" s="296"/>
      <c r="U50" s="296"/>
      <c r="V50" s="298"/>
    </row>
    <row r="51" spans="2:22" ht="14.1" customHeight="1" thickTop="1"/>
    <row r="433" ht="23.25" customHeight="1"/>
  </sheetData>
  <mergeCells count="8">
    <mergeCell ref="B18:V18"/>
    <mergeCell ref="B1:V1"/>
    <mergeCell ref="C3:C4"/>
    <mergeCell ref="D3:G3"/>
    <mergeCell ref="H3:H4"/>
    <mergeCell ref="I3:I4"/>
    <mergeCell ref="J3:J4"/>
    <mergeCell ref="K3:K4"/>
  </mergeCells>
  <printOptions horizontalCentered="1" verticalCentered="1"/>
  <pageMargins left="0.75" right="0.75" top="1" bottom="1" header="0.5" footer="0.5"/>
  <pageSetup scale="75"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002060"/>
  </sheetPr>
  <dimension ref="A1:Z435"/>
  <sheetViews>
    <sheetView view="pageBreakPreview" topLeftCell="A18" zoomScale="64" zoomScaleNormal="70" zoomScaleSheetLayoutView="64" workbookViewId="0">
      <selection activeCell="J28" sqref="J28"/>
    </sheetView>
  </sheetViews>
  <sheetFormatPr defaultRowHeight="12.75"/>
  <cols>
    <col min="1" max="1" width="9.140625" style="1405"/>
    <col min="2" max="2" width="18.5703125" customWidth="1"/>
    <col min="3" max="3" width="6.42578125" bestFit="1" customWidth="1"/>
    <col min="4" max="4" width="5.42578125" bestFit="1" customWidth="1"/>
    <col min="5" max="5" width="8.140625" customWidth="1"/>
    <col min="6" max="6" width="10" bestFit="1" customWidth="1"/>
    <col min="7" max="8" width="6.42578125" bestFit="1" customWidth="1"/>
    <col min="9" max="9" width="7.7109375" customWidth="1"/>
    <col min="10" max="10" width="7.85546875" customWidth="1"/>
    <col min="11" max="11" width="7.7109375" bestFit="1" customWidth="1"/>
    <col min="12" max="13" width="6.42578125" bestFit="1" customWidth="1"/>
    <col min="14" max="14" width="10.5703125" customWidth="1"/>
    <col min="15" max="15" width="9.5703125" bestFit="1" customWidth="1"/>
    <col min="16" max="17" width="7.7109375" bestFit="1" customWidth="1"/>
    <col min="18" max="18" width="9.85546875" customWidth="1"/>
    <col min="19" max="19" width="7.7109375" customWidth="1"/>
    <col min="20" max="20" width="9" bestFit="1" customWidth="1"/>
    <col min="21" max="21" width="6.42578125" bestFit="1" customWidth="1"/>
    <col min="22" max="22" width="11.7109375" customWidth="1"/>
    <col min="23" max="24" width="9" bestFit="1" customWidth="1"/>
    <col min="25" max="25" width="8.7109375" customWidth="1"/>
    <col min="26" max="26" width="12.42578125" customWidth="1"/>
  </cols>
  <sheetData>
    <row r="1" spans="2:26" s="1405" customFormat="1" ht="13.5" thickBot="1"/>
    <row r="2" spans="2:26" ht="20.25">
      <c r="B2" s="1951" t="str">
        <f>"3. Progress of Transmission Sector in the Country up to "&amp;TEXT(TY,"MMM-YYYY")</f>
        <v>3. Progress of Transmission Sector in the Country up to Jun-2021</v>
      </c>
      <c r="C2" s="1952"/>
      <c r="D2" s="1952"/>
      <c r="E2" s="1952"/>
      <c r="F2" s="1952"/>
      <c r="G2" s="1952"/>
      <c r="H2" s="1952"/>
      <c r="I2" s="1952"/>
      <c r="J2" s="1952"/>
      <c r="K2" s="1952"/>
      <c r="L2" s="1952"/>
      <c r="M2" s="1952"/>
      <c r="N2" s="1952"/>
      <c r="O2" s="1952"/>
      <c r="P2" s="1952"/>
      <c r="Q2" s="1952"/>
      <c r="R2" s="1952"/>
      <c r="S2" s="1952"/>
      <c r="T2" s="1952"/>
      <c r="U2" s="1952"/>
      <c r="V2" s="1952"/>
      <c r="W2" s="1952"/>
      <c r="X2" s="1952"/>
      <c r="Y2" s="1952"/>
      <c r="Z2" s="1953"/>
    </row>
    <row r="3" spans="2:26" ht="15.75">
      <c r="B3" s="709"/>
      <c r="C3" s="710"/>
      <c r="D3" s="710"/>
      <c r="E3" s="710"/>
      <c r="F3" s="710"/>
      <c r="G3" s="710"/>
      <c r="H3" s="710"/>
      <c r="I3" s="711"/>
      <c r="J3" s="712"/>
      <c r="K3" s="713"/>
      <c r="L3" s="710"/>
      <c r="M3" s="710"/>
      <c r="N3" s="710"/>
      <c r="O3" s="710"/>
      <c r="P3" s="710"/>
      <c r="Q3" s="710"/>
      <c r="R3" s="710"/>
      <c r="S3" s="710"/>
      <c r="T3" s="710"/>
      <c r="U3" s="710"/>
      <c r="V3" s="713"/>
      <c r="W3" s="710"/>
      <c r="X3" s="710"/>
      <c r="Y3" s="710"/>
      <c r="Z3" s="714"/>
    </row>
    <row r="4" spans="2:26" ht="15.75">
      <c r="B4" s="715"/>
      <c r="C4" s="713"/>
      <c r="D4" s="713"/>
      <c r="E4" s="713"/>
      <c r="F4" s="713"/>
      <c r="G4" s="716"/>
      <c r="H4" s="716"/>
      <c r="I4" s="716"/>
      <c r="J4" s="716"/>
      <c r="K4" s="713"/>
      <c r="L4" s="662"/>
      <c r="M4" s="662"/>
      <c r="N4" s="662"/>
      <c r="O4" s="662"/>
      <c r="P4" s="662"/>
      <c r="Q4" s="662"/>
      <c r="R4" s="662"/>
      <c r="S4" s="662"/>
      <c r="T4" s="662"/>
      <c r="U4" s="662"/>
      <c r="V4" s="662"/>
      <c r="W4" s="662"/>
      <c r="X4" s="662"/>
      <c r="Y4" s="662"/>
      <c r="Z4" s="714"/>
    </row>
    <row r="5" spans="2:26" ht="15.75">
      <c r="B5" s="717" t="s">
        <v>763</v>
      </c>
      <c r="C5" s="718"/>
      <c r="D5" s="718"/>
      <c r="E5" s="718"/>
      <c r="F5" s="718"/>
      <c r="G5" s="713"/>
      <c r="H5" s="718"/>
      <c r="I5" s="718"/>
      <c r="J5" s="718"/>
      <c r="K5" s="713"/>
      <c r="L5" s="713"/>
      <c r="M5" s="713"/>
      <c r="N5" s="713"/>
      <c r="O5" s="713"/>
      <c r="P5" s="713"/>
      <c r="Q5" s="713"/>
      <c r="R5" s="713"/>
      <c r="S5" s="713"/>
      <c r="T5" s="713"/>
      <c r="U5" s="663"/>
      <c r="V5" s="713"/>
      <c r="W5" s="713"/>
      <c r="X5" s="713"/>
      <c r="Y5" s="663" t="s">
        <v>764</v>
      </c>
      <c r="Z5" s="719"/>
    </row>
    <row r="6" spans="2:26" ht="15.75">
      <c r="B6" s="1506" t="s">
        <v>765</v>
      </c>
      <c r="C6" s="1954" t="s">
        <v>766</v>
      </c>
      <c r="D6" s="1954"/>
      <c r="E6" s="1954"/>
      <c r="F6" s="1954"/>
      <c r="G6" s="1954" t="s">
        <v>767</v>
      </c>
      <c r="H6" s="1954"/>
      <c r="I6" s="1954"/>
      <c r="J6" s="1954"/>
      <c r="K6" s="1954" t="s">
        <v>451</v>
      </c>
      <c r="L6" s="1954"/>
      <c r="M6" s="1954"/>
      <c r="N6" s="1954"/>
      <c r="O6" s="1954" t="s">
        <v>452</v>
      </c>
      <c r="P6" s="1954"/>
      <c r="Q6" s="1954"/>
      <c r="R6" s="1954"/>
      <c r="S6" s="1954" t="s">
        <v>625</v>
      </c>
      <c r="T6" s="1954"/>
      <c r="U6" s="1954"/>
      <c r="V6" s="1954"/>
      <c r="W6" s="1954" t="s">
        <v>403</v>
      </c>
      <c r="X6" s="1954"/>
      <c r="Y6" s="1954"/>
      <c r="Z6" s="1955"/>
    </row>
    <row r="7" spans="2:26" ht="65.25">
      <c r="B7" s="1506"/>
      <c r="C7" s="664" t="s">
        <v>415</v>
      </c>
      <c r="D7" s="664" t="s">
        <v>413</v>
      </c>
      <c r="E7" s="664" t="s">
        <v>768</v>
      </c>
      <c r="F7" s="664" t="s">
        <v>406</v>
      </c>
      <c r="G7" s="664" t="s">
        <v>415</v>
      </c>
      <c r="H7" s="664" t="s">
        <v>413</v>
      </c>
      <c r="I7" s="664" t="s">
        <v>768</v>
      </c>
      <c r="J7" s="664" t="s">
        <v>406</v>
      </c>
      <c r="K7" s="664" t="s">
        <v>415</v>
      </c>
      <c r="L7" s="664" t="s">
        <v>413</v>
      </c>
      <c r="M7" s="664" t="s">
        <v>768</v>
      </c>
      <c r="N7" s="664" t="s">
        <v>406</v>
      </c>
      <c r="O7" s="664" t="s">
        <v>415</v>
      </c>
      <c r="P7" s="664" t="s">
        <v>413</v>
      </c>
      <c r="Q7" s="664" t="s">
        <v>768</v>
      </c>
      <c r="R7" s="664" t="s">
        <v>406</v>
      </c>
      <c r="S7" s="664" t="s">
        <v>415</v>
      </c>
      <c r="T7" s="664" t="s">
        <v>413</v>
      </c>
      <c r="U7" s="664" t="s">
        <v>768</v>
      </c>
      <c r="V7" s="664" t="s">
        <v>406</v>
      </c>
      <c r="W7" s="664" t="s">
        <v>415</v>
      </c>
      <c r="X7" s="664" t="s">
        <v>413</v>
      </c>
      <c r="Y7" s="664" t="s">
        <v>768</v>
      </c>
      <c r="Z7" s="1507" t="s">
        <v>406</v>
      </c>
    </row>
    <row r="8" spans="2:26" ht="15.75">
      <c r="B8" s="1508" t="s">
        <v>769</v>
      </c>
      <c r="C8" s="665">
        <v>0</v>
      </c>
      <c r="D8" s="665">
        <v>0</v>
      </c>
      <c r="E8" s="665">
        <v>0</v>
      </c>
      <c r="F8" s="1340">
        <v>0</v>
      </c>
      <c r="G8" s="665">
        <v>0</v>
      </c>
      <c r="H8" s="665">
        <v>0</v>
      </c>
      <c r="I8" s="665">
        <v>0</v>
      </c>
      <c r="J8" s="1340">
        <v>0</v>
      </c>
      <c r="K8" s="665">
        <v>0</v>
      </c>
      <c r="L8" s="665">
        <v>0</v>
      </c>
      <c r="M8" s="665">
        <v>0</v>
      </c>
      <c r="N8" s="1340">
        <v>0</v>
      </c>
      <c r="O8" s="665">
        <v>1831</v>
      </c>
      <c r="P8" s="665">
        <v>4198</v>
      </c>
      <c r="Q8" s="665">
        <v>0</v>
      </c>
      <c r="R8" s="1340">
        <v>6029</v>
      </c>
      <c r="S8" s="665">
        <v>1641</v>
      </c>
      <c r="T8" s="665">
        <v>44364</v>
      </c>
      <c r="U8" s="665">
        <v>0</v>
      </c>
      <c r="V8" s="1340">
        <v>46005</v>
      </c>
      <c r="W8" s="665">
        <v>3472</v>
      </c>
      <c r="X8" s="665">
        <v>48562</v>
      </c>
      <c r="Y8" s="665">
        <v>0</v>
      </c>
      <c r="Z8" s="1509">
        <v>52034</v>
      </c>
    </row>
    <row r="9" spans="2:26" ht="15.75">
      <c r="B9" s="1510" t="s">
        <v>770</v>
      </c>
      <c r="C9" s="665">
        <v>0</v>
      </c>
      <c r="D9" s="665">
        <v>0</v>
      </c>
      <c r="E9" s="665">
        <v>0</v>
      </c>
      <c r="F9" s="1340">
        <v>0</v>
      </c>
      <c r="G9" s="665">
        <v>0</v>
      </c>
      <c r="H9" s="665">
        <v>0</v>
      </c>
      <c r="I9" s="665">
        <v>0</v>
      </c>
      <c r="J9" s="1340">
        <v>0</v>
      </c>
      <c r="K9" s="665">
        <v>0</v>
      </c>
      <c r="L9" s="665">
        <v>0</v>
      </c>
      <c r="M9" s="665">
        <v>0</v>
      </c>
      <c r="N9" s="1340">
        <v>0</v>
      </c>
      <c r="O9" s="665">
        <v>13068</v>
      </c>
      <c r="P9" s="665">
        <v>6756</v>
      </c>
      <c r="Q9" s="665">
        <v>0</v>
      </c>
      <c r="R9" s="1340">
        <v>19824</v>
      </c>
      <c r="S9" s="665">
        <v>4560</v>
      </c>
      <c r="T9" s="665">
        <v>55071</v>
      </c>
      <c r="U9" s="665">
        <v>0</v>
      </c>
      <c r="V9" s="1340">
        <v>59631</v>
      </c>
      <c r="W9" s="665">
        <v>17628</v>
      </c>
      <c r="X9" s="665">
        <v>61827</v>
      </c>
      <c r="Y9" s="665">
        <v>0</v>
      </c>
      <c r="Z9" s="1509">
        <v>79455</v>
      </c>
    </row>
    <row r="10" spans="2:26" ht="15.75">
      <c r="B10" s="1510" t="s">
        <v>771</v>
      </c>
      <c r="C10" s="665">
        <v>0</v>
      </c>
      <c r="D10" s="665">
        <v>0</v>
      </c>
      <c r="E10" s="665">
        <v>0</v>
      </c>
      <c r="F10" s="1340">
        <v>0</v>
      </c>
      <c r="G10" s="665">
        <v>1634</v>
      </c>
      <c r="H10" s="665">
        <v>0</v>
      </c>
      <c r="I10" s="665">
        <v>0</v>
      </c>
      <c r="J10" s="1340">
        <v>1634</v>
      </c>
      <c r="K10" s="665">
        <v>0</v>
      </c>
      <c r="L10" s="665">
        <v>0</v>
      </c>
      <c r="M10" s="665">
        <v>0</v>
      </c>
      <c r="N10" s="1340">
        <v>0</v>
      </c>
      <c r="O10" s="665">
        <v>23001</v>
      </c>
      <c r="P10" s="665">
        <v>13141</v>
      </c>
      <c r="Q10" s="665">
        <v>0</v>
      </c>
      <c r="R10" s="1340">
        <v>36142</v>
      </c>
      <c r="S10" s="665">
        <v>6564</v>
      </c>
      <c r="T10" s="665">
        <v>73036</v>
      </c>
      <c r="U10" s="665">
        <v>0</v>
      </c>
      <c r="V10" s="1340">
        <v>79600</v>
      </c>
      <c r="W10" s="665">
        <v>31199</v>
      </c>
      <c r="X10" s="665">
        <v>86177</v>
      </c>
      <c r="Y10" s="665">
        <v>0</v>
      </c>
      <c r="Z10" s="1509">
        <v>117376</v>
      </c>
    </row>
    <row r="11" spans="2:26" ht="15.75">
      <c r="B11" s="1510" t="s">
        <v>772</v>
      </c>
      <c r="C11" s="665">
        <v>0</v>
      </c>
      <c r="D11" s="665">
        <v>0</v>
      </c>
      <c r="E11" s="665">
        <v>0</v>
      </c>
      <c r="F11" s="1340">
        <v>0</v>
      </c>
      <c r="G11" s="665">
        <v>3234</v>
      </c>
      <c r="H11" s="666">
        <v>1504</v>
      </c>
      <c r="I11" s="666">
        <v>0</v>
      </c>
      <c r="J11" s="1340">
        <v>4738</v>
      </c>
      <c r="K11" s="665">
        <v>751</v>
      </c>
      <c r="L11" s="665">
        <v>409</v>
      </c>
      <c r="M11" s="665">
        <v>0</v>
      </c>
      <c r="N11" s="1340">
        <v>1160</v>
      </c>
      <c r="O11" s="665">
        <v>29345</v>
      </c>
      <c r="P11" s="665">
        <v>20033</v>
      </c>
      <c r="Q11" s="665">
        <v>0</v>
      </c>
      <c r="R11" s="1340">
        <v>49378</v>
      </c>
      <c r="S11" s="665">
        <v>8687</v>
      </c>
      <c r="T11" s="665">
        <v>88306</v>
      </c>
      <c r="U11" s="665">
        <v>0</v>
      </c>
      <c r="V11" s="1340">
        <v>96993</v>
      </c>
      <c r="W11" s="665">
        <v>42017</v>
      </c>
      <c r="X11" s="665">
        <v>110252</v>
      </c>
      <c r="Y11" s="665">
        <v>0</v>
      </c>
      <c r="Z11" s="1509">
        <v>152269</v>
      </c>
    </row>
    <row r="12" spans="2:26" ht="15.75">
      <c r="B12" s="1510" t="s">
        <v>773</v>
      </c>
      <c r="C12" s="665">
        <v>0</v>
      </c>
      <c r="D12" s="665">
        <v>0</v>
      </c>
      <c r="E12" s="665">
        <v>0</v>
      </c>
      <c r="F12" s="1340">
        <v>0</v>
      </c>
      <c r="G12" s="665">
        <v>4368</v>
      </c>
      <c r="H12" s="666">
        <v>1504</v>
      </c>
      <c r="I12" s="666">
        <v>0</v>
      </c>
      <c r="J12" s="1340">
        <v>5872</v>
      </c>
      <c r="K12" s="665">
        <v>1775</v>
      </c>
      <c r="L12" s="665">
        <v>409</v>
      </c>
      <c r="M12" s="665">
        <v>0</v>
      </c>
      <c r="N12" s="1340">
        <v>2184</v>
      </c>
      <c r="O12" s="665">
        <v>48708</v>
      </c>
      <c r="P12" s="665">
        <v>24730</v>
      </c>
      <c r="Q12" s="665">
        <v>0</v>
      </c>
      <c r="R12" s="1340">
        <v>73438</v>
      </c>
      <c r="S12" s="665">
        <v>9444</v>
      </c>
      <c r="T12" s="665">
        <v>105185</v>
      </c>
      <c r="U12" s="665">
        <v>0</v>
      </c>
      <c r="V12" s="1340">
        <v>114629</v>
      </c>
      <c r="W12" s="665">
        <v>64295</v>
      </c>
      <c r="X12" s="665">
        <v>131828</v>
      </c>
      <c r="Y12" s="665">
        <v>0</v>
      </c>
      <c r="Z12" s="1509">
        <v>196123</v>
      </c>
    </row>
    <row r="13" spans="2:26" ht="15.75">
      <c r="B13" s="1511" t="s">
        <v>774</v>
      </c>
      <c r="C13" s="665">
        <v>0</v>
      </c>
      <c r="D13" s="665">
        <v>0</v>
      </c>
      <c r="E13" s="665">
        <v>0</v>
      </c>
      <c r="F13" s="1340">
        <v>0</v>
      </c>
      <c r="G13" s="667">
        <v>5948</v>
      </c>
      <c r="H13" s="667">
        <v>1504</v>
      </c>
      <c r="I13" s="667">
        <v>1980</v>
      </c>
      <c r="J13" s="1341">
        <v>9432</v>
      </c>
      <c r="K13" s="667">
        <v>4839</v>
      </c>
      <c r="L13" s="667">
        <v>411</v>
      </c>
      <c r="M13" s="667">
        <v>0</v>
      </c>
      <c r="N13" s="1341">
        <v>5250</v>
      </c>
      <c r="O13" s="667">
        <v>71023</v>
      </c>
      <c r="P13" s="667">
        <v>30191</v>
      </c>
      <c r="Q13" s="667">
        <v>5605</v>
      </c>
      <c r="R13" s="1341">
        <v>106819</v>
      </c>
      <c r="S13" s="667">
        <v>10140</v>
      </c>
      <c r="T13" s="667">
        <v>125010</v>
      </c>
      <c r="U13" s="667">
        <v>830</v>
      </c>
      <c r="V13" s="1341">
        <v>135980</v>
      </c>
      <c r="W13" s="667">
        <v>91950</v>
      </c>
      <c r="X13" s="667">
        <v>157116</v>
      </c>
      <c r="Y13" s="667">
        <v>8415</v>
      </c>
      <c r="Z13" s="1509">
        <v>257481</v>
      </c>
    </row>
    <row r="14" spans="2:26" ht="15.75">
      <c r="B14" s="1511" t="s">
        <v>775</v>
      </c>
      <c r="C14" s="665">
        <v>6124</v>
      </c>
      <c r="D14" s="665">
        <v>0</v>
      </c>
      <c r="E14" s="665">
        <v>0</v>
      </c>
      <c r="F14" s="1340">
        <v>6124</v>
      </c>
      <c r="G14" s="667">
        <v>5948</v>
      </c>
      <c r="H14" s="667">
        <v>1504</v>
      </c>
      <c r="I14" s="667">
        <v>1980</v>
      </c>
      <c r="J14" s="1341">
        <v>9432</v>
      </c>
      <c r="K14" s="667">
        <v>25465</v>
      </c>
      <c r="L14" s="667">
        <v>1177</v>
      </c>
      <c r="M14" s="667">
        <v>4598</v>
      </c>
      <c r="N14" s="1341">
        <v>31240</v>
      </c>
      <c r="O14" s="667">
        <v>92482</v>
      </c>
      <c r="P14" s="667">
        <v>48240</v>
      </c>
      <c r="Q14" s="667">
        <v>17065</v>
      </c>
      <c r="R14" s="1341">
        <v>157787</v>
      </c>
      <c r="S14" s="667">
        <v>11014</v>
      </c>
      <c r="T14" s="667">
        <v>151276</v>
      </c>
      <c r="U14" s="667">
        <v>978</v>
      </c>
      <c r="V14" s="1341">
        <v>163268</v>
      </c>
      <c r="W14" s="667">
        <v>141033</v>
      </c>
      <c r="X14" s="667">
        <v>202197</v>
      </c>
      <c r="Y14" s="667">
        <v>24621</v>
      </c>
      <c r="Z14" s="1509">
        <v>367851</v>
      </c>
    </row>
    <row r="15" spans="2:26" ht="54" customHeight="1">
      <c r="B15" s="1511" t="s">
        <v>1210</v>
      </c>
      <c r="C15" s="1338">
        <v>6124</v>
      </c>
      <c r="D15" s="1338">
        <v>0</v>
      </c>
      <c r="E15" s="1338">
        <v>0</v>
      </c>
      <c r="F15" s="1342">
        <v>6124</v>
      </c>
      <c r="G15" s="1338">
        <v>5948</v>
      </c>
      <c r="H15" s="1338">
        <v>1504</v>
      </c>
      <c r="I15" s="1338">
        <v>1980</v>
      </c>
      <c r="J15" s="1339">
        <v>9432</v>
      </c>
      <c r="K15" s="1338">
        <v>36427</v>
      </c>
      <c r="L15" s="1338">
        <v>1512</v>
      </c>
      <c r="M15" s="1338">
        <v>6914</v>
      </c>
      <c r="N15" s="1339">
        <v>44853</v>
      </c>
      <c r="O15" s="1338">
        <v>102855</v>
      </c>
      <c r="P15" s="1338">
        <v>59934</v>
      </c>
      <c r="Q15" s="1338">
        <v>21732</v>
      </c>
      <c r="R15" s="1339">
        <v>184521</v>
      </c>
      <c r="S15" s="1338">
        <v>11968</v>
      </c>
      <c r="T15" s="1338">
        <v>167163</v>
      </c>
      <c r="U15" s="1338">
        <v>1010</v>
      </c>
      <c r="V15" s="1339">
        <v>180141</v>
      </c>
      <c r="W15" s="1338">
        <v>163322</v>
      </c>
      <c r="X15" s="1338">
        <v>230113</v>
      </c>
      <c r="Y15" s="1338">
        <v>31636</v>
      </c>
      <c r="Z15" s="1512">
        <v>425071</v>
      </c>
    </row>
    <row r="16" spans="2:26" ht="64.5" customHeight="1">
      <c r="B16" s="1511" t="s">
        <v>1761</v>
      </c>
      <c r="C16" s="1338">
        <f>Data!B421</f>
        <v>9655</v>
      </c>
      <c r="D16" s="1338">
        <f>Data!C421</f>
        <v>0</v>
      </c>
      <c r="E16" s="1338">
        <f>Data!D421</f>
        <v>0</v>
      </c>
      <c r="F16" s="1339">
        <f>Data!E421</f>
        <v>9655</v>
      </c>
      <c r="G16" s="1338">
        <f>Data!F421</f>
        <v>5948</v>
      </c>
      <c r="H16" s="1338">
        <f>Data!G421</f>
        <v>1504</v>
      </c>
      <c r="I16" s="1338">
        <f>Data!H421</f>
        <v>1980</v>
      </c>
      <c r="J16" s="1339">
        <f>Data!I421</f>
        <v>9432</v>
      </c>
      <c r="K16" s="1338">
        <f>Data!N421</f>
        <v>36967</v>
      </c>
      <c r="L16" s="1338">
        <f>Data!O421</f>
        <v>1512</v>
      </c>
      <c r="M16" s="1338">
        <f>Data!P421</f>
        <v>7611</v>
      </c>
      <c r="N16" s="1339">
        <f>Data!Q421</f>
        <v>46090</v>
      </c>
      <c r="O16" s="1338">
        <f>Data!R421</f>
        <v>105648</v>
      </c>
      <c r="P16" s="1338">
        <f>Data!S421</f>
        <v>61339</v>
      </c>
      <c r="Q16" s="1338">
        <f>Data!T421</f>
        <v>22923</v>
      </c>
      <c r="R16" s="1339">
        <f>Data!U421</f>
        <v>189910</v>
      </c>
      <c r="S16" s="1338">
        <f>Data!V421</f>
        <v>11982</v>
      </c>
      <c r="T16" s="1338">
        <f>Data!W421</f>
        <v>173415</v>
      </c>
      <c r="U16" s="1338">
        <f>Data!X421</f>
        <v>1049</v>
      </c>
      <c r="V16" s="1339">
        <f>Data!Y421</f>
        <v>186446</v>
      </c>
      <c r="W16" s="1338">
        <f>Data!Z421</f>
        <v>170488</v>
      </c>
      <c r="X16" s="1338">
        <f>Data!AA421</f>
        <v>237770</v>
      </c>
      <c r="Y16" s="1338">
        <f>Data!AB421</f>
        <v>33563</v>
      </c>
      <c r="Z16" s="1513">
        <f>Data!AC421</f>
        <v>441821</v>
      </c>
    </row>
    <row r="17" spans="2:26" ht="49.5" customHeight="1">
      <c r="B17" s="1514" t="s">
        <v>1902</v>
      </c>
      <c r="C17" s="1338">
        <f>Data!B422</f>
        <v>9655</v>
      </c>
      <c r="D17" s="1338">
        <f>Data!C422</f>
        <v>0</v>
      </c>
      <c r="E17" s="1338">
        <f>Data!D422</f>
        <v>0</v>
      </c>
      <c r="F17" s="1339">
        <f>Data!E422</f>
        <v>9655</v>
      </c>
      <c r="G17" s="1338">
        <f>Data!F422</f>
        <v>5948</v>
      </c>
      <c r="H17" s="1338">
        <f>Data!G422</f>
        <v>1504</v>
      </c>
      <c r="I17" s="1338">
        <f>Data!H422</f>
        <v>1980</v>
      </c>
      <c r="J17" s="1339">
        <f>Data!I422</f>
        <v>9432</v>
      </c>
      <c r="K17" s="1338">
        <f>Data!N422</f>
        <v>37235</v>
      </c>
      <c r="L17" s="1338">
        <f>Data!O422</f>
        <v>1512</v>
      </c>
      <c r="M17" s="1338">
        <f>Data!P422</f>
        <v>7611</v>
      </c>
      <c r="N17" s="1339">
        <f>Data!Q422</f>
        <v>46358</v>
      </c>
      <c r="O17" s="1338">
        <f>Data!R422</f>
        <v>106229</v>
      </c>
      <c r="P17" s="1338">
        <f>Data!S422</f>
        <v>61400</v>
      </c>
      <c r="Q17" s="1338">
        <f>Data!T422</f>
        <v>22923</v>
      </c>
      <c r="R17" s="1339">
        <f>Data!U422</f>
        <v>190552</v>
      </c>
      <c r="S17" s="1338">
        <f>Data!V422</f>
        <v>11982</v>
      </c>
      <c r="T17" s="1338">
        <f>Data!W422</f>
        <v>174055</v>
      </c>
      <c r="U17" s="1338">
        <f>Data!X422</f>
        <v>1049</v>
      </c>
      <c r="V17" s="1339">
        <f>Data!Y422</f>
        <v>187086</v>
      </c>
      <c r="W17" s="1338">
        <f>Data!Z422</f>
        <v>171337</v>
      </c>
      <c r="X17" s="1338">
        <f>Data!AA422</f>
        <v>238471</v>
      </c>
      <c r="Y17" s="1338">
        <f>Data!AB422</f>
        <v>33563</v>
      </c>
      <c r="Z17" s="1513">
        <f>Data!AC422</f>
        <v>443371</v>
      </c>
    </row>
    <row r="18" spans="2:26" ht="15">
      <c r="B18" s="578"/>
      <c r="C18" s="185"/>
      <c r="D18" s="185"/>
      <c r="E18" s="185"/>
      <c r="F18" s="185"/>
      <c r="G18" s="185"/>
      <c r="H18" s="185"/>
      <c r="I18" s="185"/>
      <c r="J18" s="185"/>
      <c r="K18" s="185"/>
      <c r="L18" s="185"/>
      <c r="M18" s="185"/>
      <c r="N18" s="185"/>
      <c r="O18" s="185"/>
      <c r="P18" s="185"/>
      <c r="Q18" s="185"/>
      <c r="R18" s="185"/>
      <c r="S18" s="185"/>
      <c r="T18" s="185"/>
      <c r="U18" s="185"/>
      <c r="V18" s="185"/>
      <c r="W18" s="185"/>
      <c r="X18" s="185"/>
      <c r="Y18" s="185"/>
      <c r="Z18" s="720"/>
    </row>
    <row r="19" spans="2:26" ht="18.75" customHeight="1">
      <c r="B19" s="578"/>
      <c r="C19" s="1956" t="s">
        <v>917</v>
      </c>
      <c r="D19" s="1957"/>
      <c r="E19" s="1957"/>
      <c r="F19" s="1957"/>
      <c r="G19" s="1957"/>
      <c r="H19" s="1957"/>
      <c r="I19" s="1957"/>
      <c r="J19" s="1958"/>
      <c r="K19" s="185"/>
      <c r="L19" s="185"/>
      <c r="M19" s="185"/>
      <c r="N19" s="185"/>
      <c r="O19" s="185"/>
      <c r="P19" s="185"/>
      <c r="Q19" s="185"/>
      <c r="R19" s="185"/>
      <c r="S19" s="185"/>
      <c r="T19" s="185"/>
      <c r="U19" s="185"/>
      <c r="V19" s="185"/>
      <c r="W19" s="185"/>
      <c r="X19" s="185"/>
      <c r="Y19" s="185"/>
      <c r="Z19" s="720"/>
    </row>
    <row r="20" spans="2:26" ht="31.5" customHeight="1">
      <c r="B20" s="578"/>
      <c r="C20" s="1963" t="s">
        <v>776</v>
      </c>
      <c r="D20" s="1964"/>
      <c r="E20" s="1965"/>
      <c r="F20" s="992">
        <v>27150</v>
      </c>
      <c r="G20" s="668"/>
      <c r="H20" s="669"/>
      <c r="I20" s="669"/>
      <c r="J20" s="670"/>
      <c r="K20" s="185" t="s">
        <v>918</v>
      </c>
      <c r="L20" s="185"/>
      <c r="M20" s="185"/>
      <c r="N20" s="185"/>
      <c r="O20" s="185"/>
      <c r="P20" s="185"/>
      <c r="Q20" s="185"/>
      <c r="R20" s="185"/>
      <c r="S20" s="185"/>
      <c r="T20" s="185"/>
      <c r="U20" s="185"/>
      <c r="V20" s="185"/>
      <c r="W20" s="185"/>
      <c r="X20" s="185"/>
      <c r="Y20" s="185"/>
      <c r="Z20" s="720"/>
    </row>
    <row r="21" spans="2:26" ht="30.75" customHeight="1">
      <c r="B21" s="578"/>
      <c r="C21" s="1963" t="s">
        <v>777</v>
      </c>
      <c r="D21" s="1964"/>
      <c r="E21" s="1965"/>
      <c r="F21" s="992">
        <v>75050</v>
      </c>
      <c r="G21" s="671"/>
      <c r="H21" s="672"/>
      <c r="I21" s="672"/>
      <c r="J21" s="673"/>
      <c r="K21" s="185"/>
      <c r="L21" s="185"/>
      <c r="M21" s="185"/>
      <c r="N21" s="185"/>
      <c r="O21" s="185"/>
      <c r="P21" s="185"/>
      <c r="Q21" s="185"/>
      <c r="R21" s="185"/>
      <c r="S21" s="185"/>
      <c r="T21" s="185"/>
      <c r="U21" s="185"/>
      <c r="V21" s="185"/>
      <c r="W21" s="185"/>
      <c r="X21" s="185"/>
      <c r="Y21" s="185"/>
      <c r="Z21" s="720"/>
    </row>
    <row r="22" spans="2:26" ht="46.5" customHeight="1">
      <c r="B22" s="578"/>
      <c r="C22" s="1959" t="s">
        <v>886</v>
      </c>
      <c r="D22" s="1959"/>
      <c r="E22" s="1959"/>
      <c r="F22" s="992">
        <v>47900</v>
      </c>
      <c r="G22" s="671"/>
      <c r="H22" s="672"/>
      <c r="I22" s="672"/>
      <c r="J22" s="673"/>
      <c r="K22" s="185"/>
      <c r="L22" s="185"/>
      <c r="M22" s="185"/>
      <c r="N22" s="185"/>
      <c r="O22" s="729"/>
      <c r="P22" s="185"/>
      <c r="Q22" s="185"/>
      <c r="R22" s="185"/>
      <c r="S22" s="185"/>
      <c r="T22" s="185"/>
      <c r="U22" s="185"/>
      <c r="V22" s="185"/>
      <c r="W22" s="185"/>
      <c r="X22" s="185"/>
      <c r="Y22" s="185"/>
      <c r="Z22" s="720"/>
    </row>
    <row r="23" spans="2:26" ht="114.75" customHeight="1">
      <c r="B23" s="578"/>
      <c r="C23" s="1966" t="str">
        <f>"Inter-regional  Transmission Capacity at the end of Plan Period 2017-22 (as on  "&amp;TEXT(TY,"MMM-YYYY")&amp;")"</f>
        <v>Inter-regional  Transmission Capacity at the end of Plan Period 2017-22 (as on  Jun-2021)</v>
      </c>
      <c r="D23" s="1967"/>
      <c r="E23" s="1968"/>
      <c r="F23" s="992" t="str">
        <f>Data!I477</f>
        <v>30000</v>
      </c>
      <c r="G23" s="671"/>
      <c r="H23" s="672"/>
      <c r="I23" s="672"/>
      <c r="J23" s="673"/>
      <c r="K23" s="185"/>
      <c r="L23" s="185"/>
      <c r="M23" s="185"/>
      <c r="N23" s="729"/>
      <c r="O23" s="729"/>
      <c r="P23" s="185"/>
      <c r="Q23" s="185"/>
      <c r="R23" s="185"/>
      <c r="S23" s="185"/>
      <c r="T23" s="185"/>
      <c r="U23" s="185"/>
      <c r="V23" s="185"/>
      <c r="W23" s="185"/>
      <c r="X23" s="185"/>
      <c r="Y23" s="185"/>
      <c r="Z23" s="720"/>
    </row>
    <row r="24" spans="2:26" ht="107.25" customHeight="1" thickBot="1">
      <c r="B24" s="721"/>
      <c r="C24" s="1960" t="str">
        <f>"Inter-regional  Transmission Capacity at the end of Plan Period 2017-22 (as on  "&amp;TEXT(TY,"MMM-YYYY")&amp;")"</f>
        <v>Inter-regional  Transmission Capacity at the end of Plan Period 2017-22 (as on  Jun-2021)</v>
      </c>
      <c r="D24" s="1961"/>
      <c r="E24" s="1962"/>
      <c r="F24" s="1515" t="str">
        <f>Data!I478</f>
        <v>105050*</v>
      </c>
      <c r="G24" s="1516"/>
      <c r="H24" s="1517"/>
      <c r="I24" s="1517"/>
      <c r="J24" s="1518"/>
      <c r="K24" s="722"/>
      <c r="L24" s="722"/>
      <c r="M24" s="722"/>
      <c r="N24" s="722"/>
      <c r="O24" s="722"/>
      <c r="P24" s="722"/>
      <c r="Q24" s="722"/>
      <c r="R24" s="722"/>
      <c r="S24" s="722"/>
      <c r="T24" s="722"/>
      <c r="U24" s="722"/>
      <c r="V24" s="722"/>
      <c r="W24" s="722"/>
      <c r="X24" s="722"/>
      <c r="Y24" s="722"/>
      <c r="Z24" s="1519">
        <v>30</v>
      </c>
    </row>
    <row r="25" spans="2:26" ht="15">
      <c r="B25" s="185"/>
      <c r="C25" s="185"/>
      <c r="D25" s="185"/>
      <c r="E25" s="185"/>
      <c r="F25" s="185"/>
      <c r="G25" s="185"/>
      <c r="H25" s="185"/>
      <c r="I25" s="185"/>
      <c r="J25" s="185"/>
      <c r="K25" s="185"/>
      <c r="L25" s="185"/>
      <c r="M25" s="185"/>
      <c r="N25" s="185"/>
      <c r="O25" s="185"/>
      <c r="P25" s="185"/>
      <c r="Q25" s="185"/>
      <c r="R25" s="185"/>
      <c r="S25" s="185"/>
      <c r="T25" s="185"/>
      <c r="U25" s="185"/>
      <c r="V25" s="185"/>
      <c r="W25" s="185"/>
      <c r="X25" s="185"/>
      <c r="Y25" s="185"/>
    </row>
    <row r="26" spans="2:26" ht="15.75" thickBot="1">
      <c r="B26" s="721"/>
      <c r="C26" s="722"/>
      <c r="D26" s="722"/>
      <c r="E26" s="722"/>
      <c r="F26" s="722"/>
      <c r="G26" s="722"/>
      <c r="H26" s="722"/>
      <c r="I26" s="722"/>
      <c r="J26" s="722"/>
      <c r="K26" s="722"/>
      <c r="L26" s="722"/>
      <c r="M26" s="722"/>
      <c r="N26" s="722"/>
      <c r="O26" s="722"/>
      <c r="P26" s="722"/>
      <c r="Q26" s="722"/>
      <c r="R26" s="722"/>
      <c r="S26" s="722"/>
      <c r="T26" s="722"/>
      <c r="U26" s="722"/>
      <c r="V26" s="722"/>
      <c r="W26" s="722"/>
      <c r="X26" s="722"/>
      <c r="Y26" s="722"/>
      <c r="Z26" s="723"/>
    </row>
    <row r="51" ht="21.75" customHeight="1"/>
    <row r="435" ht="23.25" customHeight="1"/>
  </sheetData>
  <mergeCells count="13">
    <mergeCell ref="C22:E22"/>
    <mergeCell ref="C24:E24"/>
    <mergeCell ref="C20:E20"/>
    <mergeCell ref="C21:E21"/>
    <mergeCell ref="C23:E23"/>
    <mergeCell ref="B2:Z2"/>
    <mergeCell ref="W6:Z6"/>
    <mergeCell ref="C19:J19"/>
    <mergeCell ref="C6:F6"/>
    <mergeCell ref="G6:J6"/>
    <mergeCell ref="K6:N6"/>
    <mergeCell ref="O6:R6"/>
    <mergeCell ref="S6:V6"/>
  </mergeCells>
  <printOptions horizontalCentered="1" verticalCentered="1"/>
  <pageMargins left="0.75" right="0.75" top="1" bottom="1" header="0.5" footer="0.5"/>
  <pageSetup scale="37" fitToHeight="0"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002060"/>
  </sheetPr>
  <dimension ref="A1:J439"/>
  <sheetViews>
    <sheetView view="pageBreakPreview" zoomScale="64" zoomScaleNormal="100" zoomScaleSheetLayoutView="64" workbookViewId="0">
      <selection activeCell="J28" sqref="J28"/>
    </sheetView>
  </sheetViews>
  <sheetFormatPr defaultRowHeight="12.75"/>
  <cols>
    <col min="1" max="1" width="9.140625" style="1405"/>
    <col min="2" max="2" width="15.85546875" bestFit="1" customWidth="1"/>
    <col min="4" max="4" width="10.85546875" customWidth="1"/>
    <col min="5" max="5" width="13.42578125" customWidth="1"/>
    <col min="6" max="6" width="20.42578125" customWidth="1"/>
    <col min="7" max="7" width="13" customWidth="1"/>
    <col min="9" max="9" width="6.28515625" customWidth="1"/>
  </cols>
  <sheetData>
    <row r="1" spans="2:9" s="1405" customFormat="1" ht="13.5" thickBot="1"/>
    <row r="2" spans="2:9" s="212" customFormat="1" ht="23.25" customHeight="1" thickBot="1">
      <c r="B2" s="1871" t="s">
        <v>1539</v>
      </c>
      <c r="C2" s="1872"/>
      <c r="D2" s="1872"/>
      <c r="E2" s="1872"/>
      <c r="F2" s="1872"/>
      <c r="G2" s="1872"/>
      <c r="H2" s="1872"/>
      <c r="I2" s="1873"/>
    </row>
    <row r="3" spans="2:9" ht="12" customHeight="1">
      <c r="B3" s="103"/>
      <c r="C3" s="104"/>
      <c r="D3" s="104"/>
      <c r="E3" s="105"/>
      <c r="F3" s="104"/>
      <c r="G3" s="1450"/>
      <c r="H3" s="1450"/>
      <c r="I3" s="1451"/>
    </row>
    <row r="4" spans="2:9" ht="15.75" customHeight="1">
      <c r="B4" s="14"/>
      <c r="C4" s="106"/>
      <c r="D4" s="1450"/>
      <c r="E4" s="1976" t="s">
        <v>41</v>
      </c>
      <c r="F4" s="1910" t="s">
        <v>42</v>
      </c>
      <c r="G4" s="107"/>
      <c r="H4" s="1450"/>
      <c r="I4" s="1451"/>
    </row>
    <row r="5" spans="2:9" ht="15.75">
      <c r="B5" s="14"/>
      <c r="C5" s="106"/>
      <c r="D5" s="1450"/>
      <c r="E5" s="1976"/>
      <c r="F5" s="1910"/>
      <c r="G5" s="107"/>
      <c r="H5" s="1450"/>
      <c r="I5" s="1451"/>
    </row>
    <row r="6" spans="2:9" ht="15.75">
      <c r="B6" s="14"/>
      <c r="C6" s="107"/>
      <c r="D6" s="1450"/>
      <c r="E6" s="108" t="s">
        <v>19</v>
      </c>
      <c r="F6" s="109">
        <v>278</v>
      </c>
      <c r="G6" s="107"/>
      <c r="H6" s="1450"/>
      <c r="I6" s="1451"/>
    </row>
    <row r="7" spans="2:9" ht="15.75">
      <c r="B7" s="14"/>
      <c r="C7" s="107"/>
      <c r="D7" s="1450"/>
      <c r="E7" s="108" t="s">
        <v>20</v>
      </c>
      <c r="F7" s="109">
        <v>281</v>
      </c>
      <c r="G7" s="107"/>
      <c r="H7" s="1450"/>
      <c r="I7" s="1451"/>
    </row>
    <row r="8" spans="2:9" ht="15.75">
      <c r="B8" s="14"/>
      <c r="C8" s="107"/>
      <c r="D8" s="1450"/>
      <c r="E8" s="108" t="s">
        <v>43</v>
      </c>
      <c r="F8" s="109">
        <v>302</v>
      </c>
      <c r="G8" s="107"/>
      <c r="H8" s="1450"/>
      <c r="I8" s="1451"/>
    </row>
    <row r="9" spans="2:9" ht="15.75">
      <c r="B9" s="14"/>
      <c r="C9" s="107"/>
      <c r="D9" s="1450"/>
      <c r="E9" s="108" t="s">
        <v>44</v>
      </c>
      <c r="F9" s="109">
        <v>330</v>
      </c>
      <c r="G9" s="107"/>
      <c r="H9" s="1450"/>
      <c r="I9" s="1451"/>
    </row>
    <row r="10" spans="2:9" ht="15.75">
      <c r="B10" s="14"/>
      <c r="C10" s="107"/>
      <c r="D10" s="1450"/>
      <c r="E10" s="108" t="s">
        <v>74</v>
      </c>
      <c r="F10" s="109">
        <v>355</v>
      </c>
      <c r="G10" s="107"/>
      <c r="H10" s="1450"/>
      <c r="I10" s="1451"/>
    </row>
    <row r="11" spans="2:9" ht="15.75">
      <c r="B11" s="14"/>
      <c r="C11" s="107"/>
      <c r="D11" s="1450"/>
      <c r="E11" s="108" t="s">
        <v>75</v>
      </c>
      <c r="F11" s="109">
        <v>367</v>
      </c>
      <c r="G11" s="107"/>
      <c r="H11" s="1450"/>
      <c r="I11" s="1451"/>
    </row>
    <row r="12" spans="2:9" ht="15.75">
      <c r="B12" s="14"/>
      <c r="C12" s="107"/>
      <c r="D12" s="1450"/>
      <c r="E12" s="108" t="s">
        <v>439</v>
      </c>
      <c r="F12" s="109">
        <v>387</v>
      </c>
      <c r="G12" s="107"/>
      <c r="H12" s="1450"/>
      <c r="I12" s="1451"/>
    </row>
    <row r="13" spans="2:9" ht="15.75">
      <c r="B13" s="14"/>
      <c r="C13" s="107"/>
      <c r="D13" s="1450"/>
      <c r="E13" s="108" t="s">
        <v>399</v>
      </c>
      <c r="F13" s="109">
        <v>417.56</v>
      </c>
      <c r="G13" s="107"/>
      <c r="H13" s="1450"/>
      <c r="I13" s="1451"/>
    </row>
    <row r="14" spans="2:9" ht="15.75">
      <c r="B14" s="14"/>
      <c r="C14" s="107"/>
      <c r="D14" s="1450"/>
      <c r="E14" s="108" t="s">
        <v>470</v>
      </c>
      <c r="F14" s="109">
        <v>454.6</v>
      </c>
      <c r="G14" s="107"/>
      <c r="H14" s="1450"/>
      <c r="I14" s="1451"/>
    </row>
    <row r="15" spans="2:9" ht="15.75">
      <c r="B15" s="14"/>
      <c r="C15" s="107"/>
      <c r="D15" s="10"/>
      <c r="E15" s="108" t="s">
        <v>443</v>
      </c>
      <c r="F15" s="150">
        <v>489.4</v>
      </c>
      <c r="G15" s="107"/>
      <c r="H15" s="1450"/>
      <c r="I15" s="1451"/>
    </row>
    <row r="16" spans="2:9" ht="15.75">
      <c r="B16" s="14"/>
      <c r="C16" s="107"/>
      <c r="D16" s="10"/>
      <c r="E16" s="108" t="s">
        <v>97</v>
      </c>
      <c r="F16" s="150">
        <v>530.4</v>
      </c>
      <c r="G16" s="107"/>
      <c r="H16" s="1450"/>
      <c r="I16" s="1451"/>
    </row>
    <row r="17" spans="1:9" s="519" customFormat="1" ht="17.25" customHeight="1">
      <c r="A17" s="1405"/>
      <c r="B17" s="538"/>
      <c r="C17" s="107"/>
      <c r="D17" s="10"/>
      <c r="E17" s="108" t="s">
        <v>106</v>
      </c>
      <c r="F17" s="150">
        <v>545.9</v>
      </c>
      <c r="G17" s="107"/>
      <c r="H17" s="1450"/>
      <c r="I17" s="1451"/>
    </row>
    <row r="18" spans="1:9" s="519" customFormat="1" ht="15.75">
      <c r="A18" s="1405"/>
      <c r="B18" s="14"/>
      <c r="C18" s="107"/>
      <c r="D18" s="10"/>
      <c r="E18" s="108" t="s">
        <v>719</v>
      </c>
      <c r="F18" s="150">
        <v>574.29999999999995</v>
      </c>
      <c r="G18" s="107"/>
      <c r="H18" s="1450"/>
      <c r="I18" s="1451"/>
    </row>
    <row r="19" spans="1:9" ht="15.75">
      <c r="B19" s="14"/>
      <c r="C19" s="107"/>
      <c r="D19" s="10"/>
      <c r="E19" s="108" t="s">
        <v>631</v>
      </c>
      <c r="F19" s="150">
        <v>608</v>
      </c>
      <c r="G19" s="107"/>
      <c r="H19" s="1450"/>
      <c r="I19" s="1451"/>
    </row>
    <row r="20" spans="1:9" s="830" customFormat="1" ht="15.75">
      <c r="A20" s="1405"/>
      <c r="B20" s="14"/>
      <c r="C20" s="107"/>
      <c r="D20" s="10"/>
      <c r="E20" s="108" t="s">
        <v>1019</v>
      </c>
      <c r="F20" s="150">
        <v>628.9</v>
      </c>
      <c r="G20" s="107"/>
      <c r="H20" s="1450"/>
      <c r="I20" s="1451"/>
    </row>
    <row r="21" spans="1:9" ht="18" customHeight="1" thickBot="1">
      <c r="B21" s="14"/>
      <c r="C21" s="107"/>
      <c r="D21" s="10"/>
      <c r="E21" s="108" t="s">
        <v>1213</v>
      </c>
      <c r="F21" s="150">
        <v>622.20000000000005</v>
      </c>
      <c r="G21" s="107"/>
      <c r="H21" s="1450"/>
      <c r="I21" s="1451"/>
    </row>
    <row r="22" spans="1:9" s="212" customFormat="1" ht="20.25" customHeight="1" thickBot="1">
      <c r="B22" s="1871" t="s">
        <v>1540</v>
      </c>
      <c r="C22" s="1872"/>
      <c r="D22" s="1872"/>
      <c r="E22" s="1872"/>
      <c r="F22" s="1872"/>
      <c r="G22" s="1872"/>
      <c r="H22" s="1872"/>
      <c r="I22" s="1873"/>
    </row>
    <row r="23" spans="1:9" ht="10.5" customHeight="1">
      <c r="B23" s="103"/>
      <c r="C23" s="110"/>
      <c r="D23" s="111"/>
      <c r="E23" s="111"/>
      <c r="F23" s="111"/>
      <c r="G23" s="1450"/>
      <c r="H23" s="1450"/>
      <c r="I23" s="1451"/>
    </row>
    <row r="24" spans="1:9" ht="15.75">
      <c r="B24" s="14"/>
      <c r="C24" s="107"/>
      <c r="D24" s="108" t="s">
        <v>434</v>
      </c>
      <c r="E24" s="1977" t="s">
        <v>76</v>
      </c>
      <c r="F24" s="1914"/>
      <c r="G24" s="1915"/>
      <c r="H24" s="1450"/>
      <c r="I24" s="1451"/>
    </row>
    <row r="25" spans="1:9" ht="15.75">
      <c r="B25" s="14"/>
      <c r="C25" s="107"/>
      <c r="D25" s="108" t="s">
        <v>20</v>
      </c>
      <c r="E25" s="1975">
        <v>631.4</v>
      </c>
      <c r="F25" s="1973"/>
      <c r="G25" s="1974"/>
      <c r="H25" s="1450"/>
      <c r="I25" s="1451"/>
    </row>
    <row r="26" spans="1:9" ht="15.75">
      <c r="B26" s="14"/>
      <c r="C26" s="107"/>
      <c r="D26" s="108" t="s">
        <v>43</v>
      </c>
      <c r="E26" s="1975">
        <v>671.89</v>
      </c>
      <c r="F26" s="1973"/>
      <c r="G26" s="1974"/>
      <c r="H26" s="1450"/>
      <c r="I26" s="1451"/>
    </row>
    <row r="27" spans="1:9" ht="15.75">
      <c r="B27" s="14"/>
      <c r="C27" s="107"/>
      <c r="D27" s="108" t="s">
        <v>44</v>
      </c>
      <c r="E27" s="1975">
        <v>717.1</v>
      </c>
      <c r="F27" s="1973"/>
      <c r="G27" s="1974"/>
      <c r="H27" s="1450"/>
      <c r="I27" s="1451"/>
    </row>
    <row r="28" spans="1:9" ht="15.75">
      <c r="B28" s="14"/>
      <c r="C28" s="107"/>
      <c r="D28" s="108" t="s">
        <v>74</v>
      </c>
      <c r="E28" s="1972">
        <v>733.5</v>
      </c>
      <c r="F28" s="1973"/>
      <c r="G28" s="1974"/>
      <c r="H28" s="1450"/>
      <c r="I28" s="1451"/>
    </row>
    <row r="29" spans="1:9" ht="15.75">
      <c r="B29" s="14"/>
      <c r="C29" s="107"/>
      <c r="D29" s="108" t="s">
        <v>75</v>
      </c>
      <c r="E29" s="1972">
        <v>778.6</v>
      </c>
      <c r="F29" s="1973"/>
      <c r="G29" s="1974"/>
      <c r="H29" s="1450"/>
      <c r="I29" s="1451"/>
    </row>
    <row r="30" spans="1:9" ht="15.75">
      <c r="B30" s="14"/>
      <c r="C30" s="107"/>
      <c r="D30" s="108" t="s">
        <v>439</v>
      </c>
      <c r="E30" s="1972">
        <v>818.8</v>
      </c>
      <c r="F30" s="1973"/>
      <c r="G30" s="1974"/>
      <c r="H30" s="1450"/>
      <c r="I30" s="1451"/>
    </row>
    <row r="31" spans="1:9" ht="15.75">
      <c r="B31" s="14"/>
      <c r="C31" s="107"/>
      <c r="D31" s="108" t="s">
        <v>399</v>
      </c>
      <c r="E31" s="1969">
        <v>883.63</v>
      </c>
      <c r="F31" s="1970"/>
      <c r="G31" s="1971"/>
      <c r="H31" s="1450"/>
      <c r="I31" s="1451"/>
    </row>
    <row r="32" spans="1:9" ht="15.75">
      <c r="B32" s="14"/>
      <c r="C32" s="107"/>
      <c r="D32" s="112" t="s">
        <v>470</v>
      </c>
      <c r="E32" s="1969">
        <v>914.41</v>
      </c>
      <c r="F32" s="1970"/>
      <c r="G32" s="1971"/>
      <c r="H32" s="1450"/>
      <c r="I32" s="1451"/>
    </row>
    <row r="33" spans="1:10" ht="15.75">
      <c r="B33" s="14"/>
      <c r="C33" s="107"/>
      <c r="D33" s="112" t="s">
        <v>443</v>
      </c>
      <c r="E33" s="1969">
        <v>957</v>
      </c>
      <c r="F33" s="1970"/>
      <c r="G33" s="1971"/>
      <c r="H33" s="1450"/>
      <c r="I33" s="1451"/>
    </row>
    <row r="34" spans="1:10" ht="15.75">
      <c r="B34" s="14"/>
      <c r="C34" s="107"/>
      <c r="D34" s="112" t="s">
        <v>97</v>
      </c>
      <c r="E34" s="1969">
        <v>1010</v>
      </c>
      <c r="F34" s="1970"/>
      <c r="G34" s="1971"/>
      <c r="H34" s="1450"/>
      <c r="I34" s="1451"/>
    </row>
    <row r="35" spans="1:10" s="519" customFormat="1" ht="15.75">
      <c r="A35" s="1405"/>
      <c r="B35" s="14"/>
      <c r="C35" s="107"/>
      <c r="D35" s="108" t="s">
        <v>106</v>
      </c>
      <c r="E35" s="1982">
        <v>1075</v>
      </c>
      <c r="F35" s="1982"/>
      <c r="G35" s="1982"/>
      <c r="H35" s="1450"/>
      <c r="I35" s="1451"/>
    </row>
    <row r="36" spans="1:10" s="519" customFormat="1" ht="15.75">
      <c r="A36" s="1405"/>
      <c r="B36" s="14"/>
      <c r="C36" s="107"/>
      <c r="D36" s="112" t="s">
        <v>719</v>
      </c>
      <c r="E36" s="1969">
        <v>1122</v>
      </c>
      <c r="F36" s="1970"/>
      <c r="G36" s="1971"/>
      <c r="H36" s="1450"/>
      <c r="I36" s="1451"/>
    </row>
    <row r="37" spans="1:10" s="830" customFormat="1" ht="15.75">
      <c r="A37" s="1405"/>
      <c r="B37" s="14"/>
      <c r="C37" s="107"/>
      <c r="D37" s="108" t="s">
        <v>631</v>
      </c>
      <c r="E37" s="1982">
        <v>1149</v>
      </c>
      <c r="F37" s="1982"/>
      <c r="G37" s="1982"/>
      <c r="H37" s="1450"/>
      <c r="I37" s="1451"/>
    </row>
    <row r="38" spans="1:10" ht="15.75">
      <c r="B38" s="14"/>
      <c r="C38" s="107"/>
      <c r="D38" s="108" t="s">
        <v>1019</v>
      </c>
      <c r="E38" s="1982">
        <v>1181</v>
      </c>
      <c r="F38" s="1982"/>
      <c r="G38" s="1982"/>
      <c r="H38" s="1450"/>
      <c r="I38" s="1451"/>
    </row>
    <row r="39" spans="1:10" s="965" customFormat="1" ht="15.75">
      <c r="A39" s="1405"/>
      <c r="B39" s="14"/>
      <c r="C39" s="107"/>
      <c r="D39" s="108" t="s">
        <v>1214</v>
      </c>
      <c r="E39" s="1984">
        <v>1208</v>
      </c>
      <c r="F39" s="1984"/>
      <c r="G39" s="1984"/>
      <c r="H39" s="1450"/>
      <c r="I39" s="1451"/>
    </row>
    <row r="40" spans="1:10" ht="15.75">
      <c r="B40" s="14"/>
      <c r="C40" s="107"/>
      <c r="D40" s="1983" t="s">
        <v>1021</v>
      </c>
      <c r="E40" s="1983"/>
      <c r="F40" s="1983"/>
      <c r="G40" s="1983"/>
      <c r="H40" s="1450"/>
      <c r="I40" s="1451"/>
    </row>
    <row r="41" spans="1:10" ht="12" customHeight="1" thickBot="1">
      <c r="B41" s="14"/>
      <c r="C41" s="107"/>
      <c r="D41" s="113"/>
      <c r="E41" s="99"/>
      <c r="F41" s="99"/>
      <c r="G41" s="99"/>
      <c r="H41" s="1450"/>
      <c r="I41" s="1451"/>
    </row>
    <row r="42" spans="1:10" s="212" customFormat="1" ht="21" customHeight="1" thickBot="1">
      <c r="B42" s="1871" t="s">
        <v>1541</v>
      </c>
      <c r="C42" s="1872"/>
      <c r="D42" s="1872"/>
      <c r="E42" s="1872"/>
      <c r="F42" s="1872"/>
      <c r="G42" s="1872"/>
      <c r="H42" s="1872"/>
      <c r="I42" s="1873"/>
    </row>
    <row r="43" spans="1:10" ht="12" customHeight="1">
      <c r="B43" s="103"/>
      <c r="C43" s="111"/>
      <c r="D43" s="111"/>
      <c r="E43" s="111"/>
      <c r="F43" s="111"/>
      <c r="G43" s="107"/>
      <c r="H43" s="1450"/>
      <c r="I43" s="1451"/>
    </row>
    <row r="44" spans="1:10" ht="15" customHeight="1">
      <c r="B44" s="114"/>
      <c r="C44" s="1450"/>
      <c r="D44" s="1739" t="s">
        <v>434</v>
      </c>
      <c r="E44" s="1739" t="s">
        <v>435</v>
      </c>
      <c r="F44" s="1620" t="s">
        <v>436</v>
      </c>
      <c r="G44" s="1621"/>
      <c r="H44" s="1450"/>
      <c r="I44" s="1451"/>
    </row>
    <row r="45" spans="1:10" ht="15.75">
      <c r="B45" s="115"/>
      <c r="C45" s="1450"/>
      <c r="D45" s="1978"/>
      <c r="E45" s="1978"/>
      <c r="F45" s="1739" t="s">
        <v>437</v>
      </c>
      <c r="G45" s="1980" t="s">
        <v>438</v>
      </c>
      <c r="H45" s="8"/>
      <c r="I45" s="1451"/>
      <c r="J45" s="1"/>
    </row>
    <row r="46" spans="1:10" ht="15.75">
      <c r="B46" s="114"/>
      <c r="C46" s="1450"/>
      <c r="D46" s="1979"/>
      <c r="E46" s="1740"/>
      <c r="F46" s="1874"/>
      <c r="G46" s="1981"/>
      <c r="H46" s="8"/>
      <c r="I46" s="1451"/>
      <c r="J46" s="1"/>
    </row>
    <row r="47" spans="1:10" ht="15.75">
      <c r="B47" s="115"/>
      <c r="C47" s="1450"/>
      <c r="D47" s="108" t="s">
        <v>19</v>
      </c>
      <c r="E47" s="1456">
        <v>254</v>
      </c>
      <c r="F47" s="116">
        <v>209</v>
      </c>
      <c r="G47" s="117">
        <v>75.680000000000007</v>
      </c>
      <c r="H47" s="118"/>
      <c r="I47" s="1451"/>
      <c r="J47" s="1"/>
    </row>
    <row r="48" spans="1:10" ht="15.75">
      <c r="B48" s="115"/>
      <c r="C48" s="1450"/>
      <c r="D48" s="108" t="s">
        <v>20</v>
      </c>
      <c r="E48" s="1456">
        <v>260</v>
      </c>
      <c r="F48" s="116">
        <v>221</v>
      </c>
      <c r="G48" s="117">
        <v>76.36</v>
      </c>
      <c r="H48" s="118"/>
      <c r="I48" s="1451"/>
      <c r="J48" s="1"/>
    </row>
    <row r="49" spans="2:10" ht="15.75">
      <c r="B49" s="115"/>
      <c r="C49" s="1450"/>
      <c r="D49" s="108" t="s">
        <v>43</v>
      </c>
      <c r="E49" s="1456">
        <v>276</v>
      </c>
      <c r="F49" s="116">
        <v>227</v>
      </c>
      <c r="G49" s="117">
        <v>74.23</v>
      </c>
      <c r="H49" s="119"/>
      <c r="I49" s="1451"/>
      <c r="J49" s="1"/>
    </row>
    <row r="50" spans="2:10" ht="15.75">
      <c r="B50" s="115"/>
      <c r="C50" s="1450"/>
      <c r="D50" s="108" t="s">
        <v>44</v>
      </c>
      <c r="E50" s="1456">
        <v>293</v>
      </c>
      <c r="F50" s="116">
        <v>239</v>
      </c>
      <c r="G50" s="117">
        <v>77.27</v>
      </c>
      <c r="H50" s="118"/>
      <c r="I50" s="1451"/>
      <c r="J50" s="1"/>
    </row>
    <row r="51" spans="2:10" ht="15.75">
      <c r="B51" s="115"/>
      <c r="C51" s="1450"/>
      <c r="D51" s="108" t="s">
        <v>74</v>
      </c>
      <c r="E51" s="1456">
        <v>340</v>
      </c>
      <c r="F51" s="116">
        <v>263</v>
      </c>
      <c r="G51" s="117">
        <v>87.13</v>
      </c>
      <c r="H51" s="118"/>
      <c r="I51" s="1451"/>
      <c r="J51" s="1"/>
    </row>
    <row r="52" spans="2:10" ht="15.75">
      <c r="B52" s="115"/>
      <c r="C52" s="1450"/>
      <c r="D52" s="108" t="s">
        <v>75</v>
      </c>
      <c r="E52" s="1456">
        <v>355</v>
      </c>
      <c r="F52" s="116">
        <v>268</v>
      </c>
      <c r="G52" s="117">
        <v>88.7</v>
      </c>
      <c r="H52" s="119"/>
      <c r="I52" s="1451"/>
      <c r="J52" s="1"/>
    </row>
    <row r="53" spans="2:10" ht="15.75">
      <c r="B53" s="115"/>
      <c r="C53" s="1450"/>
      <c r="D53" s="108" t="s">
        <v>439</v>
      </c>
      <c r="E53" s="1456">
        <v>398</v>
      </c>
      <c r="F53" s="116">
        <v>303</v>
      </c>
      <c r="G53" s="117">
        <v>119.75</v>
      </c>
      <c r="H53" s="119"/>
      <c r="I53" s="1451"/>
      <c r="J53" s="1"/>
    </row>
    <row r="54" spans="2:10" s="206" customFormat="1" ht="15">
      <c r="B54" s="114"/>
      <c r="C54" s="211"/>
      <c r="D54" s="207" t="s">
        <v>399</v>
      </c>
      <c r="E54" s="208">
        <v>455</v>
      </c>
      <c r="F54" s="208">
        <v>330</v>
      </c>
      <c r="G54" s="208">
        <v>135.13999999999999</v>
      </c>
      <c r="H54" s="209"/>
      <c r="I54" s="210"/>
      <c r="J54" s="211"/>
    </row>
    <row r="55" spans="2:10" s="206" customFormat="1" ht="21.75" customHeight="1">
      <c r="B55" s="114"/>
      <c r="C55" s="211"/>
      <c r="D55" s="207" t="s">
        <v>470</v>
      </c>
      <c r="E55" s="208">
        <v>501</v>
      </c>
      <c r="F55" s="208">
        <v>376</v>
      </c>
      <c r="G55" s="208">
        <v>148.66999999999999</v>
      </c>
      <c r="H55" s="209"/>
      <c r="I55" s="210"/>
      <c r="J55" s="211"/>
    </row>
    <row r="56" spans="2:10" ht="15.75">
      <c r="B56" s="115"/>
      <c r="C56" s="1450"/>
      <c r="D56" s="207" t="s">
        <v>443</v>
      </c>
      <c r="E56" s="214">
        <v>519</v>
      </c>
      <c r="F56" s="214"/>
      <c r="G56" s="214">
        <v>175</v>
      </c>
      <c r="H56" s="118"/>
      <c r="I56" s="1451"/>
      <c r="J56" s="1"/>
    </row>
    <row r="57" spans="2:10" ht="15.75">
      <c r="B57" s="115"/>
      <c r="C57" s="1450"/>
      <c r="D57" s="207" t="s">
        <v>97</v>
      </c>
      <c r="E57" s="214">
        <v>521</v>
      </c>
      <c r="F57" s="214"/>
      <c r="G57" s="214"/>
      <c r="H57" s="118"/>
      <c r="I57" s="1451"/>
      <c r="J57" s="1"/>
    </row>
    <row r="58" spans="2:10" ht="15.75">
      <c r="B58" s="115"/>
      <c r="C58" s="1450"/>
      <c r="D58" s="207" t="s">
        <v>106</v>
      </c>
      <c r="E58" s="214">
        <v>531</v>
      </c>
      <c r="F58" s="214"/>
      <c r="G58" s="214"/>
      <c r="H58" s="11"/>
      <c r="I58" s="213"/>
      <c r="J58" s="1"/>
    </row>
    <row r="59" spans="2:10" ht="15.75" customHeight="1">
      <c r="B59" s="115"/>
      <c r="C59" s="1071"/>
      <c r="D59" s="207" t="s">
        <v>719</v>
      </c>
      <c r="E59" s="1449">
        <v>538</v>
      </c>
      <c r="F59" s="1014"/>
      <c r="G59" s="1014"/>
      <c r="H59" s="11"/>
      <c r="I59" s="213"/>
      <c r="J59" s="1"/>
    </row>
    <row r="60" spans="2:10" ht="15">
      <c r="B60" s="14"/>
      <c r="C60" s="1450"/>
      <c r="D60" s="207" t="s">
        <v>631</v>
      </c>
      <c r="E60" s="1070">
        <v>550</v>
      </c>
      <c r="F60" s="1014"/>
      <c r="G60" s="1014"/>
      <c r="H60" s="1450"/>
      <c r="I60" s="1451"/>
    </row>
    <row r="61" spans="2:10" ht="15">
      <c r="B61" s="14"/>
      <c r="C61" s="1450"/>
      <c r="D61" s="207" t="s">
        <v>1019</v>
      </c>
      <c r="E61" s="1070">
        <v>600</v>
      </c>
      <c r="F61" s="1109"/>
      <c r="G61" s="1109"/>
      <c r="H61" s="1450"/>
      <c r="I61" s="1451"/>
    </row>
    <row r="62" spans="2:10">
      <c r="B62" s="14"/>
      <c r="C62" s="1450"/>
      <c r="D62" s="1450"/>
      <c r="E62" s="1450"/>
      <c r="F62" s="1450"/>
      <c r="G62" s="1450"/>
      <c r="H62" s="1450"/>
      <c r="I62" s="1451"/>
    </row>
    <row r="63" spans="2:10">
      <c r="B63" s="14"/>
      <c r="C63" s="1450"/>
      <c r="D63" s="1450"/>
      <c r="E63" s="1450"/>
      <c r="F63" s="1450"/>
      <c r="G63" s="1450"/>
      <c r="H63" s="1450"/>
      <c r="I63" s="1451"/>
    </row>
    <row r="64" spans="2:10">
      <c r="B64" s="14"/>
      <c r="C64" s="1450"/>
      <c r="D64" s="1450"/>
      <c r="E64" s="1450"/>
      <c r="F64" s="1450"/>
      <c r="G64" s="1450"/>
      <c r="H64" s="1450"/>
      <c r="I64" s="1451"/>
    </row>
    <row r="65" spans="2:9" ht="13.5" thickBot="1">
      <c r="B65" s="17"/>
      <c r="C65" s="18"/>
      <c r="D65" s="950" t="s">
        <v>440</v>
      </c>
      <c r="E65" s="951"/>
      <c r="F65" s="951"/>
      <c r="G65" s="952"/>
      <c r="H65" s="120"/>
      <c r="I65" s="101">
        <v>31</v>
      </c>
    </row>
    <row r="439" ht="23.25" customHeight="1"/>
  </sheetData>
  <mergeCells count="27">
    <mergeCell ref="E34:G34"/>
    <mergeCell ref="E35:G35"/>
    <mergeCell ref="E36:G36"/>
    <mergeCell ref="E37:G37"/>
    <mergeCell ref="D40:G40"/>
    <mergeCell ref="E39:G39"/>
    <mergeCell ref="E38:G38"/>
    <mergeCell ref="B42:I42"/>
    <mergeCell ref="D44:D46"/>
    <mergeCell ref="E44:E46"/>
    <mergeCell ref="F44:G44"/>
    <mergeCell ref="F45:F46"/>
    <mergeCell ref="G45:G46"/>
    <mergeCell ref="E26:G26"/>
    <mergeCell ref="E27:G27"/>
    <mergeCell ref="B2:I2"/>
    <mergeCell ref="E4:E5"/>
    <mergeCell ref="F4:F5"/>
    <mergeCell ref="B22:I22"/>
    <mergeCell ref="E24:G24"/>
    <mergeCell ref="E25:G25"/>
    <mergeCell ref="E33:G33"/>
    <mergeCell ref="E28:G28"/>
    <mergeCell ref="E29:G29"/>
    <mergeCell ref="E32:G32"/>
    <mergeCell ref="E30:G30"/>
    <mergeCell ref="E31:G31"/>
  </mergeCells>
  <phoneticPr fontId="17" type="noConversion"/>
  <printOptions horizontalCentered="1" verticalCentered="1"/>
  <pageMargins left="0.75" right="0.75" top="1" bottom="1" header="0.5" footer="0.5"/>
  <pageSetup scale="5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002060"/>
  </sheetPr>
  <dimension ref="A3:J435"/>
  <sheetViews>
    <sheetView view="pageBreakPreview" zoomScale="64" zoomScaleNormal="100" zoomScaleSheetLayoutView="64" workbookViewId="0">
      <selection activeCell="J28" sqref="J28"/>
    </sheetView>
  </sheetViews>
  <sheetFormatPr defaultRowHeight="12.75"/>
  <cols>
    <col min="1" max="1" width="15.85546875" bestFit="1" customWidth="1"/>
    <col min="2" max="2" width="7.5703125" customWidth="1"/>
    <col min="3" max="3" width="7.28515625" customWidth="1"/>
    <col min="4" max="4" width="64.42578125" customWidth="1"/>
    <col min="5" max="5" width="7.85546875" customWidth="1"/>
  </cols>
  <sheetData>
    <row r="3" spans="3:9" ht="20.25">
      <c r="C3" s="1985" t="s">
        <v>1092</v>
      </c>
      <c r="D3" s="1985"/>
      <c r="E3" s="1985"/>
      <c r="F3" s="172"/>
      <c r="G3" s="172"/>
      <c r="H3" s="172"/>
      <c r="I3" s="172"/>
    </row>
    <row r="5" spans="3:9">
      <c r="C5" s="153" t="s">
        <v>77</v>
      </c>
      <c r="D5" s="153" t="s">
        <v>22</v>
      </c>
      <c r="E5" s="153" t="s">
        <v>78</v>
      </c>
    </row>
    <row r="6" spans="3:9" ht="18" customHeight="1">
      <c r="C6" s="894">
        <v>1</v>
      </c>
      <c r="D6" s="174" t="s">
        <v>2003</v>
      </c>
      <c r="E6" s="271" t="s">
        <v>1542</v>
      </c>
      <c r="F6" s="173"/>
    </row>
    <row r="7" spans="3:9">
      <c r="C7" s="894">
        <v>2</v>
      </c>
      <c r="D7" s="174" t="s">
        <v>1091</v>
      </c>
      <c r="E7" s="271">
        <v>46</v>
      </c>
    </row>
    <row r="18" spans="1:10" ht="41.25" customHeight="1">
      <c r="A18" s="410"/>
      <c r="B18" s="411"/>
      <c r="C18" s="411"/>
      <c r="D18" s="411"/>
      <c r="E18" s="411"/>
      <c r="F18" s="411"/>
      <c r="G18" s="411"/>
      <c r="H18" s="411"/>
      <c r="I18" s="411"/>
      <c r="J18" s="411"/>
    </row>
    <row r="51" ht="21.75" customHeight="1"/>
    <row r="435" ht="23.25" customHeight="1"/>
  </sheetData>
  <mergeCells count="1">
    <mergeCell ref="C3:E3"/>
  </mergeCells>
  <phoneticPr fontId="17" type="noConversion"/>
  <printOptions horizontalCentered="1" verticalCentered="1"/>
  <pageMargins left="0.75" right="0.75" top="1" bottom="1" header="0.5" footer="0.5"/>
  <pageSetup scale="75" orientation="portrait" r:id="rId1"/>
  <headerFooter alignWithMargins="0"/>
  <colBreaks count="2" manualBreakCount="2">
    <brk id="8" max="27" man="1"/>
    <brk id="10" max="27"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002060"/>
  </sheetPr>
  <dimension ref="A1:Q583"/>
  <sheetViews>
    <sheetView view="pageBreakPreview" topLeftCell="A553" zoomScale="85" zoomScaleNormal="100" zoomScaleSheetLayoutView="85" workbookViewId="0">
      <selection activeCell="J28" sqref="J28"/>
    </sheetView>
  </sheetViews>
  <sheetFormatPr defaultColWidth="9.140625" defaultRowHeight="12.75"/>
  <cols>
    <col min="1" max="1" width="24.5703125" style="12" customWidth="1"/>
    <col min="2" max="2" width="14.5703125" style="12" hidden="1" customWidth="1"/>
    <col min="3" max="3" width="0" style="12" hidden="1" customWidth="1"/>
    <col min="4" max="4" width="24.7109375" style="12" customWidth="1"/>
    <col min="5" max="5" width="21.42578125" style="12" customWidth="1"/>
    <col min="6" max="6" width="24.28515625" style="12" customWidth="1"/>
    <col min="7" max="7" width="14.85546875" style="12" customWidth="1"/>
    <col min="8" max="8" width="15.28515625" style="12" customWidth="1"/>
    <col min="9" max="9" width="16.140625" style="12" customWidth="1"/>
    <col min="10" max="10" width="9.140625" style="12"/>
    <col min="11" max="11" width="15.7109375" style="12" customWidth="1"/>
    <col min="12" max="16384" width="9.140625" style="12"/>
  </cols>
  <sheetData>
    <row r="1" spans="1:17" ht="21" customHeight="1">
      <c r="A1" s="1987" t="s">
        <v>1390</v>
      </c>
      <c r="B1" s="1987"/>
      <c r="C1" s="1987"/>
      <c r="D1" s="1987"/>
      <c r="E1" s="1987"/>
      <c r="F1" s="1987"/>
      <c r="G1" s="1987"/>
      <c r="H1" s="1987"/>
      <c r="I1" s="1987"/>
      <c r="J1" s="1987"/>
      <c r="K1" s="1987"/>
    </row>
    <row r="2" spans="1:17" ht="93" customHeight="1">
      <c r="A2" s="923" t="s">
        <v>99</v>
      </c>
      <c r="B2" s="923" t="s">
        <v>100</v>
      </c>
      <c r="C2" s="923" t="s">
        <v>101</v>
      </c>
      <c r="D2" s="923" t="s">
        <v>102</v>
      </c>
      <c r="E2" s="923" t="s">
        <v>103</v>
      </c>
      <c r="F2" s="923" t="s">
        <v>104</v>
      </c>
      <c r="G2" s="923" t="s">
        <v>105</v>
      </c>
      <c r="H2" s="923" t="s">
        <v>1391</v>
      </c>
      <c r="I2" s="926" t="s">
        <v>1392</v>
      </c>
      <c r="J2" s="926" t="s">
        <v>1393</v>
      </c>
      <c r="K2" s="926" t="s">
        <v>1394</v>
      </c>
      <c r="L2" s="1414"/>
      <c r="M2" s="1414"/>
      <c r="N2" s="1414"/>
      <c r="O2" s="1414"/>
      <c r="P2" s="1414"/>
      <c r="Q2" s="1414"/>
    </row>
    <row r="3" spans="1:17" ht="19.5" customHeight="1">
      <c r="A3" s="927" t="s">
        <v>110</v>
      </c>
      <c r="B3" s="927" t="s">
        <v>107</v>
      </c>
      <c r="C3" s="927" t="s">
        <v>8</v>
      </c>
      <c r="D3" s="927" t="s">
        <v>111</v>
      </c>
      <c r="E3" s="927" t="s">
        <v>108</v>
      </c>
      <c r="F3" s="927" t="s">
        <v>109</v>
      </c>
      <c r="G3" s="927">
        <v>180</v>
      </c>
      <c r="H3" s="927">
        <v>367</v>
      </c>
      <c r="I3" s="1262">
        <v>102</v>
      </c>
      <c r="J3" s="650">
        <v>102</v>
      </c>
      <c r="K3" s="650">
        <v>204</v>
      </c>
    </row>
    <row r="4" spans="1:17" ht="19.5" customHeight="1">
      <c r="A4" s="927" t="s">
        <v>112</v>
      </c>
      <c r="B4" s="927" t="s">
        <v>107</v>
      </c>
      <c r="C4" s="927" t="s">
        <v>8</v>
      </c>
      <c r="D4" s="927" t="s">
        <v>111</v>
      </c>
      <c r="E4" s="927" t="s">
        <v>108</v>
      </c>
      <c r="F4" s="927" t="s">
        <v>109</v>
      </c>
      <c r="G4" s="927">
        <v>540</v>
      </c>
      <c r="H4" s="927">
        <v>2485</v>
      </c>
      <c r="I4" s="1262">
        <v>114</v>
      </c>
      <c r="J4" s="650">
        <v>114</v>
      </c>
      <c r="K4" s="650">
        <v>228</v>
      </c>
    </row>
    <row r="5" spans="1:17" ht="19.5" customHeight="1">
      <c r="A5" s="927" t="s">
        <v>113</v>
      </c>
      <c r="B5" s="927" t="s">
        <v>107</v>
      </c>
      <c r="C5" s="927" t="s">
        <v>8</v>
      </c>
      <c r="D5" s="927" t="s">
        <v>111</v>
      </c>
      <c r="E5" s="927" t="s">
        <v>108</v>
      </c>
      <c r="F5" s="927" t="s">
        <v>109</v>
      </c>
      <c r="G5" s="927">
        <v>300</v>
      </c>
      <c r="H5" s="927">
        <v>1508</v>
      </c>
      <c r="I5" s="1262">
        <v>100</v>
      </c>
      <c r="J5" s="650">
        <v>100</v>
      </c>
      <c r="K5" s="650">
        <v>201</v>
      </c>
    </row>
    <row r="6" spans="1:17" ht="19.5" customHeight="1">
      <c r="A6" s="927" t="s">
        <v>574</v>
      </c>
      <c r="B6" s="927" t="s">
        <v>107</v>
      </c>
      <c r="C6" s="927" t="s">
        <v>8</v>
      </c>
      <c r="D6" s="927" t="s">
        <v>111</v>
      </c>
      <c r="E6" s="927" t="s">
        <v>108</v>
      </c>
      <c r="F6" s="927" t="s">
        <v>109</v>
      </c>
      <c r="G6" s="652">
        <v>231</v>
      </c>
      <c r="H6" s="652">
        <v>1043</v>
      </c>
      <c r="I6" s="652">
        <v>212</v>
      </c>
      <c r="J6" s="650">
        <v>212</v>
      </c>
      <c r="K6" s="650">
        <v>425</v>
      </c>
    </row>
    <row r="7" spans="1:17" ht="19.5" customHeight="1">
      <c r="A7" s="927" t="s">
        <v>575</v>
      </c>
      <c r="B7" s="927" t="s">
        <v>107</v>
      </c>
      <c r="C7" s="927" t="s">
        <v>8</v>
      </c>
      <c r="D7" s="927" t="s">
        <v>111</v>
      </c>
      <c r="E7" s="927" t="s">
        <v>108</v>
      </c>
      <c r="F7" s="927" t="s">
        <v>109</v>
      </c>
      <c r="G7" s="652">
        <v>520</v>
      </c>
      <c r="H7" s="652">
        <v>608</v>
      </c>
      <c r="I7" s="652">
        <v>154</v>
      </c>
      <c r="J7" s="650">
        <v>154</v>
      </c>
      <c r="K7" s="650">
        <v>308</v>
      </c>
    </row>
    <row r="8" spans="1:17" ht="20.100000000000001" customHeight="1">
      <c r="A8" s="927" t="s">
        <v>114</v>
      </c>
      <c r="B8" s="927" t="s">
        <v>107</v>
      </c>
      <c r="C8" s="927" t="s">
        <v>8</v>
      </c>
      <c r="D8" s="927" t="s">
        <v>111</v>
      </c>
      <c r="E8" s="927" t="s">
        <v>108</v>
      </c>
      <c r="F8" s="927" t="s">
        <v>115</v>
      </c>
      <c r="G8" s="652">
        <v>280</v>
      </c>
      <c r="H8" s="652">
        <v>1106</v>
      </c>
      <c r="I8" s="652">
        <v>122</v>
      </c>
      <c r="J8" s="650">
        <v>122</v>
      </c>
      <c r="K8" s="650">
        <v>243</v>
      </c>
    </row>
    <row r="9" spans="1:17" ht="20.100000000000001" customHeight="1">
      <c r="A9" s="927" t="s">
        <v>1378</v>
      </c>
      <c r="B9" s="927" t="s">
        <v>107</v>
      </c>
      <c r="C9" s="927" t="s">
        <v>8</v>
      </c>
      <c r="D9" s="927" t="s">
        <v>111</v>
      </c>
      <c r="E9" s="927" t="s">
        <v>108</v>
      </c>
      <c r="F9" s="927" t="s">
        <v>160</v>
      </c>
      <c r="G9" s="652">
        <v>44</v>
      </c>
      <c r="H9" s="652">
        <v>49</v>
      </c>
      <c r="I9" s="652">
        <v>413</v>
      </c>
      <c r="J9" s="650">
        <v>413</v>
      </c>
      <c r="K9" s="650">
        <v>826</v>
      </c>
    </row>
    <row r="10" spans="1:17" ht="20.100000000000001" customHeight="1">
      <c r="A10" s="927" t="s">
        <v>116</v>
      </c>
      <c r="B10" s="927" t="s">
        <v>107</v>
      </c>
      <c r="C10" s="927" t="s">
        <v>8</v>
      </c>
      <c r="D10" s="927" t="s">
        <v>111</v>
      </c>
      <c r="E10" s="927" t="s">
        <v>108</v>
      </c>
      <c r="F10" s="927" t="s">
        <v>160</v>
      </c>
      <c r="G10" s="652">
        <v>390</v>
      </c>
      <c r="H10" s="652">
        <v>2273</v>
      </c>
      <c r="I10" s="652">
        <v>275</v>
      </c>
      <c r="J10" s="650">
        <v>275</v>
      </c>
      <c r="K10" s="650">
        <v>550</v>
      </c>
    </row>
    <row r="11" spans="1:17" ht="20.100000000000001" customHeight="1">
      <c r="A11" s="927" t="s">
        <v>117</v>
      </c>
      <c r="B11" s="927" t="s">
        <v>107</v>
      </c>
      <c r="C11" s="927" t="s">
        <v>8</v>
      </c>
      <c r="D11" s="927" t="s">
        <v>111</v>
      </c>
      <c r="E11" s="927" t="s">
        <v>108</v>
      </c>
      <c r="F11" s="927" t="s">
        <v>160</v>
      </c>
      <c r="G11" s="652">
        <v>690</v>
      </c>
      <c r="H11" s="652">
        <v>3412</v>
      </c>
      <c r="I11" s="652">
        <v>62</v>
      </c>
      <c r="J11" s="650">
        <v>62</v>
      </c>
      <c r="K11" s="650">
        <v>123</v>
      </c>
    </row>
    <row r="12" spans="1:17" ht="20.100000000000001" customHeight="1">
      <c r="A12" s="927" t="s">
        <v>650</v>
      </c>
      <c r="B12" s="927" t="s">
        <v>107</v>
      </c>
      <c r="C12" s="927" t="s">
        <v>8</v>
      </c>
      <c r="D12" s="927" t="s">
        <v>111</v>
      </c>
      <c r="E12" s="927" t="s">
        <v>108</v>
      </c>
      <c r="F12" s="1263" t="s">
        <v>115</v>
      </c>
      <c r="G12" s="652">
        <v>94.2</v>
      </c>
      <c r="H12" s="652">
        <v>453</v>
      </c>
      <c r="I12" s="652">
        <v>165</v>
      </c>
      <c r="J12" s="650">
        <v>165</v>
      </c>
      <c r="K12" s="650">
        <v>329</v>
      </c>
    </row>
    <row r="13" spans="1:17" ht="20.100000000000001" customHeight="1">
      <c r="A13" s="927" t="s">
        <v>576</v>
      </c>
      <c r="B13" s="927" t="s">
        <v>107</v>
      </c>
      <c r="C13" s="927" t="s">
        <v>8</v>
      </c>
      <c r="D13" s="927" t="s">
        <v>111</v>
      </c>
      <c r="E13" s="927" t="s">
        <v>108</v>
      </c>
      <c r="F13" s="1263" t="s">
        <v>160</v>
      </c>
      <c r="G13" s="652">
        <v>480</v>
      </c>
      <c r="H13" s="652">
        <v>3048</v>
      </c>
      <c r="I13" s="652">
        <v>82</v>
      </c>
      <c r="J13" s="650">
        <v>82</v>
      </c>
      <c r="K13" s="650">
        <v>164</v>
      </c>
    </row>
    <row r="14" spans="1:17" ht="20.100000000000001" customHeight="1">
      <c r="A14" s="927" t="s">
        <v>651</v>
      </c>
      <c r="B14" s="927" t="s">
        <v>107</v>
      </c>
      <c r="C14" s="927" t="s">
        <v>8</v>
      </c>
      <c r="D14" s="927" t="s">
        <v>111</v>
      </c>
      <c r="E14" s="927" t="s">
        <v>108</v>
      </c>
      <c r="F14" s="927" t="s">
        <v>160</v>
      </c>
      <c r="G14" s="652">
        <v>240</v>
      </c>
      <c r="H14" s="652">
        <v>1581</v>
      </c>
      <c r="I14" s="652">
        <v>237</v>
      </c>
      <c r="J14" s="650">
        <v>237</v>
      </c>
      <c r="K14" s="650">
        <v>475</v>
      </c>
    </row>
    <row r="15" spans="1:17" ht="20.100000000000001" customHeight="1">
      <c r="A15" s="927" t="s">
        <v>1379</v>
      </c>
      <c r="B15" s="927" t="s">
        <v>107</v>
      </c>
      <c r="C15" s="927" t="s">
        <v>8</v>
      </c>
      <c r="D15" s="927" t="s">
        <v>111</v>
      </c>
      <c r="E15" s="927" t="s">
        <v>108</v>
      </c>
      <c r="F15" s="1263" t="s">
        <v>160</v>
      </c>
      <c r="G15" s="652">
        <v>45</v>
      </c>
      <c r="H15" s="652">
        <v>106</v>
      </c>
      <c r="I15" s="652">
        <v>462</v>
      </c>
      <c r="J15" s="650">
        <v>462</v>
      </c>
      <c r="K15" s="650">
        <v>924</v>
      </c>
    </row>
    <row r="16" spans="1:17" ht="20.100000000000001" customHeight="1">
      <c r="A16" s="927" t="s">
        <v>118</v>
      </c>
      <c r="B16" s="927" t="s">
        <v>107</v>
      </c>
      <c r="C16" s="927" t="s">
        <v>8</v>
      </c>
      <c r="D16" s="927" t="s">
        <v>111</v>
      </c>
      <c r="E16" s="927" t="s">
        <v>108</v>
      </c>
      <c r="F16" s="1263" t="s">
        <v>160</v>
      </c>
      <c r="G16" s="652">
        <v>120</v>
      </c>
      <c r="H16" s="652">
        <v>498</v>
      </c>
      <c r="I16" s="652">
        <v>216</v>
      </c>
      <c r="J16" s="650">
        <v>216</v>
      </c>
      <c r="K16" s="650">
        <v>433</v>
      </c>
    </row>
    <row r="17" spans="1:11" ht="20.100000000000001" customHeight="1">
      <c r="A17" s="927" t="s">
        <v>739</v>
      </c>
      <c r="B17" s="927" t="s">
        <v>107</v>
      </c>
      <c r="C17" s="927" t="s">
        <v>8</v>
      </c>
      <c r="D17" s="927" t="s">
        <v>119</v>
      </c>
      <c r="E17" s="927" t="s">
        <v>120</v>
      </c>
      <c r="F17" s="1263" t="s">
        <v>121</v>
      </c>
      <c r="G17" s="652">
        <v>419.33</v>
      </c>
      <c r="H17" s="652">
        <v>326</v>
      </c>
      <c r="I17" s="652">
        <v>72</v>
      </c>
      <c r="J17" s="650">
        <v>492</v>
      </c>
      <c r="K17" s="650">
        <v>564</v>
      </c>
    </row>
    <row r="18" spans="1:11" ht="20.100000000000001" customHeight="1">
      <c r="A18" s="927" t="s">
        <v>122</v>
      </c>
      <c r="B18" s="927" t="s">
        <v>107</v>
      </c>
      <c r="C18" s="927" t="s">
        <v>8</v>
      </c>
      <c r="D18" s="927" t="s">
        <v>119</v>
      </c>
      <c r="E18" s="650" t="s">
        <v>120</v>
      </c>
      <c r="F18" s="927" t="s">
        <v>123</v>
      </c>
      <c r="G18" s="652">
        <v>663.36</v>
      </c>
      <c r="H18" s="652">
        <v>262</v>
      </c>
      <c r="I18" s="652">
        <v>64</v>
      </c>
      <c r="J18" s="650">
        <v>594</v>
      </c>
      <c r="K18" s="650">
        <v>658</v>
      </c>
    </row>
    <row r="19" spans="1:11" ht="20.100000000000001" customHeight="1">
      <c r="A19" s="927" t="s">
        <v>1380</v>
      </c>
      <c r="B19" s="927" t="s">
        <v>107</v>
      </c>
      <c r="C19" s="927" t="s">
        <v>8</v>
      </c>
      <c r="D19" s="927" t="s">
        <v>119</v>
      </c>
      <c r="E19" s="650" t="s">
        <v>120</v>
      </c>
      <c r="F19" s="927" t="s">
        <v>127</v>
      </c>
      <c r="G19" s="652">
        <v>431.59</v>
      </c>
      <c r="H19" s="652">
        <v>606</v>
      </c>
      <c r="I19" s="652">
        <v>76</v>
      </c>
      <c r="J19" s="650">
        <v>343</v>
      </c>
      <c r="K19" s="650">
        <v>419</v>
      </c>
    </row>
    <row r="20" spans="1:11" ht="20.100000000000001" customHeight="1">
      <c r="A20" s="927" t="s">
        <v>1381</v>
      </c>
      <c r="B20" s="927" t="s">
        <v>207</v>
      </c>
      <c r="C20" s="927" t="s">
        <v>8</v>
      </c>
      <c r="D20" s="927" t="s">
        <v>119</v>
      </c>
      <c r="E20" s="927" t="s">
        <v>120</v>
      </c>
      <c r="F20" s="927" t="s">
        <v>1382</v>
      </c>
      <c r="G20" s="652">
        <v>657.39</v>
      </c>
      <c r="H20" s="652">
        <v>1444</v>
      </c>
      <c r="I20" s="652">
        <v>108</v>
      </c>
      <c r="J20" s="650">
        <v>278</v>
      </c>
      <c r="K20" s="650">
        <v>386</v>
      </c>
    </row>
    <row r="21" spans="1:11" ht="20.100000000000001" customHeight="1">
      <c r="A21" s="927" t="s">
        <v>531</v>
      </c>
      <c r="B21" s="927" t="s">
        <v>107</v>
      </c>
      <c r="C21" s="927" t="s">
        <v>8</v>
      </c>
      <c r="D21" s="927" t="s">
        <v>119</v>
      </c>
      <c r="E21" s="927" t="s">
        <v>124</v>
      </c>
      <c r="F21" s="927" t="s">
        <v>123</v>
      </c>
      <c r="G21" s="652">
        <v>840</v>
      </c>
      <c r="H21" s="652">
        <v>3693</v>
      </c>
      <c r="I21" s="652">
        <v>99</v>
      </c>
      <c r="J21" s="650">
        <v>366</v>
      </c>
      <c r="K21" s="650">
        <v>465</v>
      </c>
    </row>
    <row r="22" spans="1:11" ht="20.100000000000001" customHeight="1">
      <c r="A22" s="927" t="s">
        <v>532</v>
      </c>
      <c r="B22" s="927" t="s">
        <v>107</v>
      </c>
      <c r="C22" s="927" t="s">
        <v>8</v>
      </c>
      <c r="D22" s="927" t="s">
        <v>119</v>
      </c>
      <c r="E22" s="927" t="s">
        <v>124</v>
      </c>
      <c r="F22" s="927" t="s">
        <v>123</v>
      </c>
      <c r="G22" s="652">
        <v>980</v>
      </c>
      <c r="H22" s="652">
        <v>5726</v>
      </c>
      <c r="I22" s="652">
        <v>145</v>
      </c>
      <c r="J22" s="650">
        <v>342</v>
      </c>
      <c r="K22" s="650">
        <v>487</v>
      </c>
    </row>
    <row r="23" spans="1:11" ht="20.100000000000001" customHeight="1">
      <c r="A23" s="927" t="s">
        <v>126</v>
      </c>
      <c r="B23" s="927" t="s">
        <v>107</v>
      </c>
      <c r="C23" s="927" t="s">
        <v>8</v>
      </c>
      <c r="D23" s="927" t="s">
        <v>119</v>
      </c>
      <c r="E23" s="650" t="s">
        <v>120</v>
      </c>
      <c r="F23" s="927" t="s">
        <v>123</v>
      </c>
      <c r="G23" s="652">
        <v>829.78</v>
      </c>
      <c r="H23" s="652">
        <v>1319</v>
      </c>
      <c r="I23" s="652">
        <v>58</v>
      </c>
      <c r="J23" s="650">
        <v>419</v>
      </c>
      <c r="K23" s="650">
        <v>477</v>
      </c>
    </row>
    <row r="24" spans="1:11" ht="20.100000000000001" customHeight="1">
      <c r="A24" s="927" t="s">
        <v>128</v>
      </c>
      <c r="B24" s="927" t="s">
        <v>107</v>
      </c>
      <c r="C24" s="927" t="s">
        <v>8</v>
      </c>
      <c r="D24" s="927" t="s">
        <v>119</v>
      </c>
      <c r="E24" s="650" t="s">
        <v>124</v>
      </c>
      <c r="F24" s="927" t="s">
        <v>123</v>
      </c>
      <c r="G24" s="652">
        <v>1000</v>
      </c>
      <c r="H24" s="652">
        <v>6728</v>
      </c>
      <c r="I24" s="652">
        <v>86</v>
      </c>
      <c r="J24" s="650">
        <v>132</v>
      </c>
      <c r="K24" s="650">
        <v>218</v>
      </c>
    </row>
    <row r="25" spans="1:11" ht="20.100000000000001" customHeight="1">
      <c r="A25" s="927" t="s">
        <v>578</v>
      </c>
      <c r="B25" s="927" t="s">
        <v>107</v>
      </c>
      <c r="C25" s="927" t="s">
        <v>8</v>
      </c>
      <c r="D25" s="927" t="s">
        <v>119</v>
      </c>
      <c r="E25" s="927" t="s">
        <v>124</v>
      </c>
      <c r="F25" s="927" t="s">
        <v>123</v>
      </c>
      <c r="G25" s="652">
        <v>1000</v>
      </c>
      <c r="H25" s="652">
        <v>7160</v>
      </c>
      <c r="I25" s="652">
        <v>71</v>
      </c>
      <c r="J25" s="650">
        <v>131</v>
      </c>
      <c r="K25" s="650">
        <v>202</v>
      </c>
    </row>
    <row r="26" spans="1:11" ht="20.100000000000001" customHeight="1">
      <c r="A26" s="927" t="s">
        <v>129</v>
      </c>
      <c r="B26" s="927" t="s">
        <v>107</v>
      </c>
      <c r="C26" s="927" t="s">
        <v>8</v>
      </c>
      <c r="D26" s="927" t="s">
        <v>119</v>
      </c>
      <c r="E26" s="927" t="s">
        <v>124</v>
      </c>
      <c r="F26" s="927" t="s">
        <v>123</v>
      </c>
      <c r="G26" s="652">
        <v>1000</v>
      </c>
      <c r="H26" s="652">
        <v>7056</v>
      </c>
      <c r="I26" s="652">
        <v>146</v>
      </c>
      <c r="J26" s="650">
        <v>132</v>
      </c>
      <c r="K26" s="650">
        <v>278</v>
      </c>
    </row>
    <row r="27" spans="1:11" ht="20.100000000000001" customHeight="1">
      <c r="A27" s="927" t="s">
        <v>130</v>
      </c>
      <c r="B27" s="927" t="s">
        <v>107</v>
      </c>
      <c r="C27" s="927" t="s">
        <v>8</v>
      </c>
      <c r="D27" s="927" t="s">
        <v>119</v>
      </c>
      <c r="E27" s="927" t="s">
        <v>124</v>
      </c>
      <c r="F27" s="927" t="s">
        <v>123</v>
      </c>
      <c r="G27" s="652">
        <v>2000</v>
      </c>
      <c r="H27" s="652">
        <v>13504</v>
      </c>
      <c r="I27" s="652">
        <v>66</v>
      </c>
      <c r="J27" s="650">
        <v>136</v>
      </c>
      <c r="K27" s="650">
        <v>202</v>
      </c>
    </row>
    <row r="28" spans="1:11" ht="20.100000000000001" customHeight="1">
      <c r="A28" s="927" t="s">
        <v>1383</v>
      </c>
      <c r="B28" s="927" t="s">
        <v>107</v>
      </c>
      <c r="C28" s="927" t="s">
        <v>8</v>
      </c>
      <c r="D28" s="927" t="s">
        <v>119</v>
      </c>
      <c r="E28" s="927" t="s">
        <v>124</v>
      </c>
      <c r="F28" s="927" t="s">
        <v>123</v>
      </c>
      <c r="G28" s="652">
        <v>440</v>
      </c>
      <c r="H28" s="652">
        <v>2091</v>
      </c>
      <c r="I28" s="652">
        <v>128</v>
      </c>
      <c r="J28" s="650">
        <v>278</v>
      </c>
      <c r="K28" s="650">
        <v>406</v>
      </c>
    </row>
    <row r="29" spans="1:11" ht="20.100000000000001" customHeight="1">
      <c r="A29" s="927" t="s">
        <v>1384</v>
      </c>
      <c r="B29" s="927" t="s">
        <v>107</v>
      </c>
      <c r="C29" s="927" t="s">
        <v>8</v>
      </c>
      <c r="D29" s="927" t="s">
        <v>119</v>
      </c>
      <c r="E29" s="927" t="s">
        <v>124</v>
      </c>
      <c r="F29" s="927" t="s">
        <v>123</v>
      </c>
      <c r="G29" s="652">
        <v>420</v>
      </c>
      <c r="H29" s="652">
        <v>2447</v>
      </c>
      <c r="I29" s="652">
        <v>110</v>
      </c>
      <c r="J29" s="650">
        <v>289</v>
      </c>
      <c r="K29" s="650">
        <v>399</v>
      </c>
    </row>
    <row r="30" spans="1:11" ht="20.100000000000001" customHeight="1">
      <c r="A30" s="927" t="s">
        <v>1385</v>
      </c>
      <c r="B30" s="927" t="s">
        <v>107</v>
      </c>
      <c r="C30" s="927" t="s">
        <v>8</v>
      </c>
      <c r="D30" s="927" t="s">
        <v>119</v>
      </c>
      <c r="E30" s="927" t="s">
        <v>124</v>
      </c>
      <c r="F30" s="927" t="s">
        <v>123</v>
      </c>
      <c r="G30" s="652">
        <v>420</v>
      </c>
      <c r="H30" s="652">
        <v>2435</v>
      </c>
      <c r="I30" s="652">
        <v>101</v>
      </c>
      <c r="J30" s="650">
        <v>289</v>
      </c>
      <c r="K30" s="650">
        <v>390</v>
      </c>
    </row>
    <row r="31" spans="1:11" ht="20.100000000000001" customHeight="1">
      <c r="A31" s="927" t="s">
        <v>1386</v>
      </c>
      <c r="B31" s="927" t="s">
        <v>107</v>
      </c>
      <c r="C31" s="927" t="s">
        <v>8</v>
      </c>
      <c r="D31" s="927" t="s">
        <v>119</v>
      </c>
      <c r="E31" s="927" t="s">
        <v>124</v>
      </c>
      <c r="F31" s="927" t="s">
        <v>123</v>
      </c>
      <c r="G31" s="652">
        <v>210</v>
      </c>
      <c r="H31" s="652">
        <v>1126</v>
      </c>
      <c r="I31" s="652">
        <v>136</v>
      </c>
      <c r="J31" s="650">
        <v>291</v>
      </c>
      <c r="K31" s="650">
        <v>427</v>
      </c>
    </row>
    <row r="32" spans="1:11" ht="20.100000000000001" customHeight="1">
      <c r="A32" s="927" t="s">
        <v>1387</v>
      </c>
      <c r="B32" s="927" t="s">
        <v>107</v>
      </c>
      <c r="C32" s="927" t="s">
        <v>8</v>
      </c>
      <c r="D32" s="927" t="s">
        <v>119</v>
      </c>
      <c r="E32" s="927" t="s">
        <v>124</v>
      </c>
      <c r="F32" s="927" t="s">
        <v>123</v>
      </c>
      <c r="G32" s="652">
        <v>500</v>
      </c>
      <c r="H32" s="652">
        <v>613</v>
      </c>
      <c r="I32" s="652">
        <v>153</v>
      </c>
      <c r="J32" s="650">
        <v>280</v>
      </c>
      <c r="K32" s="650">
        <v>433</v>
      </c>
    </row>
    <row r="33" spans="1:11" ht="20.100000000000001" customHeight="1">
      <c r="A33" s="927" t="s">
        <v>1388</v>
      </c>
      <c r="B33" s="927" t="s">
        <v>107</v>
      </c>
      <c r="C33" s="927" t="s">
        <v>8</v>
      </c>
      <c r="D33" s="927" t="s">
        <v>119</v>
      </c>
      <c r="E33" s="927" t="s">
        <v>108</v>
      </c>
      <c r="F33" s="927" t="s">
        <v>109</v>
      </c>
      <c r="G33" s="652">
        <v>800</v>
      </c>
      <c r="H33" s="652">
        <v>2564</v>
      </c>
      <c r="I33" s="652">
        <v>308</v>
      </c>
      <c r="J33" s="650">
        <v>249</v>
      </c>
      <c r="K33" s="650">
        <v>557</v>
      </c>
    </row>
    <row r="34" spans="1:11" ht="20.100000000000001" customHeight="1">
      <c r="A34" s="927" t="s">
        <v>132</v>
      </c>
      <c r="B34" s="927" t="s">
        <v>107</v>
      </c>
      <c r="C34" s="927" t="s">
        <v>8</v>
      </c>
      <c r="D34" s="927" t="s">
        <v>133</v>
      </c>
      <c r="E34" s="927" t="s">
        <v>134</v>
      </c>
      <c r="F34" s="927" t="s">
        <v>123</v>
      </c>
      <c r="G34" s="652">
        <v>440</v>
      </c>
      <c r="H34" s="652">
        <v>2832</v>
      </c>
      <c r="I34" s="652">
        <v>0</v>
      </c>
      <c r="J34" s="650">
        <v>0</v>
      </c>
      <c r="K34" s="650">
        <v>313</v>
      </c>
    </row>
    <row r="35" spans="1:11" ht="29.25" customHeight="1">
      <c r="A35" s="927" t="s">
        <v>1389</v>
      </c>
      <c r="B35" s="927" t="s">
        <v>107</v>
      </c>
      <c r="C35" s="927" t="s">
        <v>8</v>
      </c>
      <c r="D35" s="927" t="s">
        <v>133</v>
      </c>
      <c r="E35" s="927" t="s">
        <v>134</v>
      </c>
      <c r="F35" s="1263" t="s">
        <v>121</v>
      </c>
      <c r="G35" s="652">
        <v>1080</v>
      </c>
      <c r="H35" s="652">
        <v>7195</v>
      </c>
      <c r="I35" s="652">
        <v>0</v>
      </c>
      <c r="J35" s="650">
        <v>0</v>
      </c>
      <c r="K35" s="650">
        <v>371</v>
      </c>
    </row>
    <row r="36" spans="1:11" ht="20.100000000000001" customHeight="1">
      <c r="A36" s="927" t="s">
        <v>135</v>
      </c>
      <c r="B36" s="927" t="s">
        <v>107</v>
      </c>
      <c r="C36" s="927" t="s">
        <v>8</v>
      </c>
      <c r="D36" s="927" t="s">
        <v>136</v>
      </c>
      <c r="E36" s="927" t="s">
        <v>108</v>
      </c>
      <c r="F36" s="1263" t="s">
        <v>109</v>
      </c>
      <c r="G36" s="652">
        <v>1500</v>
      </c>
      <c r="H36" s="652">
        <v>6507.25</v>
      </c>
      <c r="I36" s="652">
        <v>117.6</v>
      </c>
      <c r="J36" s="650">
        <v>117.6</v>
      </c>
      <c r="K36" s="650">
        <v>235.2</v>
      </c>
    </row>
    <row r="37" spans="1:11" ht="17.25" customHeight="1">
      <c r="A37" s="927" t="s">
        <v>579</v>
      </c>
      <c r="B37" s="927" t="s">
        <v>107</v>
      </c>
      <c r="C37" s="927" t="s">
        <v>8</v>
      </c>
      <c r="D37" s="927" t="s">
        <v>136</v>
      </c>
      <c r="E37" s="927" t="s">
        <v>108</v>
      </c>
      <c r="F37" s="927" t="s">
        <v>109</v>
      </c>
      <c r="G37" s="652">
        <v>412.02</v>
      </c>
      <c r="H37" s="652">
        <v>1828.7619999999999</v>
      </c>
      <c r="I37" s="652">
        <v>215.8</v>
      </c>
      <c r="J37" s="650">
        <v>215.8</v>
      </c>
      <c r="K37" s="650">
        <v>431.6</v>
      </c>
    </row>
    <row r="38" spans="1:11" ht="20.100000000000001" customHeight="1">
      <c r="A38" s="927" t="s">
        <v>137</v>
      </c>
      <c r="B38" s="927" t="s">
        <v>107</v>
      </c>
      <c r="C38" s="927" t="s">
        <v>8</v>
      </c>
      <c r="D38" s="927" t="s">
        <v>138</v>
      </c>
      <c r="E38" s="927" t="s">
        <v>108</v>
      </c>
      <c r="F38" s="927" t="s">
        <v>115</v>
      </c>
      <c r="G38" s="652">
        <v>1000</v>
      </c>
      <c r="H38" s="652">
        <v>2755.1236398999999</v>
      </c>
      <c r="I38" s="652">
        <v>257</v>
      </c>
      <c r="J38" s="650">
        <v>245</v>
      </c>
      <c r="K38" s="650">
        <v>502</v>
      </c>
    </row>
    <row r="39" spans="1:11" ht="20.100000000000001" customHeight="1">
      <c r="A39" s="927" t="s">
        <v>139</v>
      </c>
      <c r="B39" s="1264" t="s">
        <v>107</v>
      </c>
      <c r="C39" s="1267" t="s">
        <v>8</v>
      </c>
      <c r="D39" s="927" t="s">
        <v>138</v>
      </c>
      <c r="E39" s="930" t="s">
        <v>108</v>
      </c>
      <c r="F39" s="927" t="s">
        <v>115</v>
      </c>
      <c r="G39" s="652">
        <v>400</v>
      </c>
      <c r="H39" s="652">
        <v>1058.2960128</v>
      </c>
      <c r="I39" s="652">
        <v>223</v>
      </c>
      <c r="J39" s="650">
        <v>224</v>
      </c>
      <c r="K39" s="650">
        <v>447</v>
      </c>
    </row>
    <row r="40" spans="1:11" ht="20.100000000000001" customHeight="1">
      <c r="A40" s="927" t="s">
        <v>562</v>
      </c>
      <c r="B40" s="927" t="s">
        <v>330</v>
      </c>
      <c r="C40" s="927" t="s">
        <v>8</v>
      </c>
      <c r="D40" s="927" t="s">
        <v>563</v>
      </c>
      <c r="E40" s="927" t="s">
        <v>124</v>
      </c>
      <c r="F40" s="927" t="s">
        <v>339</v>
      </c>
      <c r="G40" s="652">
        <v>220</v>
      </c>
      <c r="H40" s="652">
        <v>675.98599999999999</v>
      </c>
      <c r="I40" s="652">
        <v>115.7</v>
      </c>
      <c r="J40" s="650">
        <v>326.47000000000003</v>
      </c>
      <c r="K40" s="650">
        <v>442.17</v>
      </c>
    </row>
    <row r="41" spans="1:11" ht="20.100000000000001" customHeight="1">
      <c r="A41" s="927" t="s">
        <v>862</v>
      </c>
      <c r="B41" s="927" t="s">
        <v>330</v>
      </c>
      <c r="C41" s="927" t="s">
        <v>8</v>
      </c>
      <c r="D41" s="927" t="s">
        <v>563</v>
      </c>
      <c r="E41" s="927" t="s">
        <v>124</v>
      </c>
      <c r="F41" s="927" t="s">
        <v>339</v>
      </c>
      <c r="G41" s="927">
        <v>390</v>
      </c>
      <c r="H41" s="927">
        <v>2136.4969999999998</v>
      </c>
      <c r="I41" s="1262">
        <v>234.9</v>
      </c>
      <c r="J41" s="650">
        <v>247.26</v>
      </c>
      <c r="K41" s="650">
        <v>482.15999999999997</v>
      </c>
    </row>
    <row r="42" spans="1:11" ht="20.100000000000001" customHeight="1">
      <c r="A42" s="927" t="s">
        <v>1171</v>
      </c>
      <c r="B42" s="1267" t="s">
        <v>330</v>
      </c>
      <c r="C42" s="1267" t="s">
        <v>474</v>
      </c>
      <c r="D42" s="1267" t="s">
        <v>1172</v>
      </c>
      <c r="E42" s="1267" t="s">
        <v>108</v>
      </c>
      <c r="F42" s="1267" t="s">
        <v>331</v>
      </c>
      <c r="G42" s="1269">
        <v>130</v>
      </c>
      <c r="H42" s="1269">
        <v>102.49</v>
      </c>
      <c r="I42" s="1269">
        <v>150.55000000000001</v>
      </c>
      <c r="J42" s="650">
        <v>87.704999999999998</v>
      </c>
      <c r="K42" s="650">
        <v>238.255</v>
      </c>
    </row>
    <row r="43" spans="1:11" ht="20.100000000000001" customHeight="1">
      <c r="A43" s="927" t="s">
        <v>343</v>
      </c>
      <c r="B43" s="1267" t="s">
        <v>330</v>
      </c>
      <c r="C43" s="1267" t="s">
        <v>474</v>
      </c>
      <c r="D43" s="1267" t="s">
        <v>344</v>
      </c>
      <c r="E43" s="1267" t="s">
        <v>108</v>
      </c>
      <c r="F43" s="1267" t="s">
        <v>345</v>
      </c>
      <c r="G43" s="1269">
        <v>510</v>
      </c>
      <c r="H43" s="1269">
        <v>1647.9473</v>
      </c>
      <c r="I43" s="1269">
        <v>0</v>
      </c>
      <c r="J43" s="650">
        <v>0</v>
      </c>
      <c r="K43" s="650">
        <v>85.91</v>
      </c>
    </row>
    <row r="44" spans="1:11" ht="20.100000000000001" customHeight="1">
      <c r="A44" s="927" t="s">
        <v>346</v>
      </c>
      <c r="B44" s="927" t="s">
        <v>330</v>
      </c>
      <c r="C44" s="927" t="s">
        <v>474</v>
      </c>
      <c r="D44" s="927" t="s">
        <v>344</v>
      </c>
      <c r="E44" s="927" t="s">
        <v>108</v>
      </c>
      <c r="F44" s="927" t="s">
        <v>345</v>
      </c>
      <c r="G44" s="652">
        <v>275.5</v>
      </c>
      <c r="H44" s="652">
        <v>351.63690000000003</v>
      </c>
      <c r="I44" s="652">
        <v>0</v>
      </c>
      <c r="J44" s="650">
        <v>0</v>
      </c>
      <c r="K44" s="650">
        <v>151.01</v>
      </c>
    </row>
    <row r="45" spans="1:11" ht="20.100000000000001" customHeight="1">
      <c r="A45" s="927" t="s">
        <v>347</v>
      </c>
      <c r="B45" s="927" t="s">
        <v>330</v>
      </c>
      <c r="C45" s="927" t="s">
        <v>474</v>
      </c>
      <c r="D45" s="927" t="s">
        <v>344</v>
      </c>
      <c r="E45" s="927" t="s">
        <v>108</v>
      </c>
      <c r="F45" s="927" t="s">
        <v>345</v>
      </c>
      <c r="G45" s="652">
        <v>72</v>
      </c>
      <c r="H45" s="652">
        <v>154.893</v>
      </c>
      <c r="I45" s="652">
        <v>0</v>
      </c>
      <c r="J45" s="650">
        <v>0</v>
      </c>
      <c r="K45" s="650">
        <v>55.19</v>
      </c>
    </row>
    <row r="46" spans="1:11" ht="20.100000000000001" customHeight="1">
      <c r="A46" s="927" t="s">
        <v>348</v>
      </c>
      <c r="B46" s="927" t="s">
        <v>330</v>
      </c>
      <c r="C46" s="927" t="s">
        <v>474</v>
      </c>
      <c r="D46" s="927" t="s">
        <v>344</v>
      </c>
      <c r="E46" s="927" t="s">
        <v>108</v>
      </c>
      <c r="F46" s="927" t="s">
        <v>345</v>
      </c>
      <c r="G46" s="652">
        <v>250</v>
      </c>
      <c r="H46" s="652">
        <v>724.65139999999997</v>
      </c>
      <c r="I46" s="652">
        <v>0</v>
      </c>
      <c r="J46" s="650">
        <v>0</v>
      </c>
      <c r="K46" s="650">
        <v>122.82</v>
      </c>
    </row>
    <row r="47" spans="1:11" ht="20.100000000000001" customHeight="1">
      <c r="A47" s="927" t="s">
        <v>349</v>
      </c>
      <c r="B47" s="927" t="s">
        <v>330</v>
      </c>
      <c r="C47" s="927" t="s">
        <v>474</v>
      </c>
      <c r="D47" s="927" t="s">
        <v>344</v>
      </c>
      <c r="E47" s="927" t="s">
        <v>108</v>
      </c>
      <c r="F47" s="927" t="s">
        <v>345</v>
      </c>
      <c r="G47" s="652">
        <v>600</v>
      </c>
      <c r="H47" s="652">
        <v>2098.3881999999999</v>
      </c>
      <c r="I47" s="652">
        <v>0</v>
      </c>
      <c r="J47" s="650">
        <v>0</v>
      </c>
      <c r="K47" s="650">
        <v>80.36</v>
      </c>
    </row>
    <row r="48" spans="1:11" ht="20.100000000000001" customHeight="1">
      <c r="A48" s="927" t="s">
        <v>350</v>
      </c>
      <c r="B48" s="927" t="s">
        <v>330</v>
      </c>
      <c r="C48" s="927" t="s">
        <v>474</v>
      </c>
      <c r="D48" s="927" t="s">
        <v>344</v>
      </c>
      <c r="E48" s="927" t="s">
        <v>108</v>
      </c>
      <c r="F48" s="927" t="s">
        <v>345</v>
      </c>
      <c r="G48" s="652">
        <v>320</v>
      </c>
      <c r="H48" s="652">
        <v>903.08699999999999</v>
      </c>
      <c r="I48" s="652">
        <v>0</v>
      </c>
      <c r="J48" s="650">
        <v>0</v>
      </c>
      <c r="K48" s="650">
        <v>58.32</v>
      </c>
    </row>
    <row r="49" spans="1:11" ht="20.100000000000001" customHeight="1">
      <c r="A49" s="927" t="s">
        <v>870</v>
      </c>
      <c r="B49" s="927" t="s">
        <v>330</v>
      </c>
      <c r="C49" s="927" t="s">
        <v>474</v>
      </c>
      <c r="D49" s="927" t="s">
        <v>351</v>
      </c>
      <c r="E49" s="927" t="s">
        <v>124</v>
      </c>
      <c r="F49" s="927" t="s">
        <v>345</v>
      </c>
      <c r="G49" s="652">
        <v>420</v>
      </c>
      <c r="H49" s="652">
        <v>2738.98</v>
      </c>
      <c r="I49" s="652">
        <v>75.97</v>
      </c>
      <c r="J49" s="650">
        <v>146.71</v>
      </c>
      <c r="K49" s="650">
        <v>222.68</v>
      </c>
    </row>
    <row r="50" spans="1:11" ht="20.100000000000001" customHeight="1">
      <c r="A50" s="927" t="s">
        <v>616</v>
      </c>
      <c r="B50" s="927" t="s">
        <v>330</v>
      </c>
      <c r="C50" s="927" t="s">
        <v>10</v>
      </c>
      <c r="D50" s="927" t="s">
        <v>617</v>
      </c>
      <c r="E50" s="927" t="s">
        <v>108</v>
      </c>
      <c r="F50" s="927" t="s">
        <v>335</v>
      </c>
      <c r="G50" s="652">
        <v>110</v>
      </c>
      <c r="H50" s="652">
        <v>374.75</v>
      </c>
      <c r="I50" s="652">
        <v>0</v>
      </c>
      <c r="J50" s="650">
        <v>0</v>
      </c>
      <c r="K50" s="650">
        <v>362</v>
      </c>
    </row>
    <row r="51" spans="1:11" ht="30.75" customHeight="1">
      <c r="A51" s="927" t="s">
        <v>695</v>
      </c>
      <c r="B51" s="927" t="s">
        <v>330</v>
      </c>
      <c r="C51" s="927" t="s">
        <v>474</v>
      </c>
      <c r="D51" s="927" t="s">
        <v>564</v>
      </c>
      <c r="E51" s="927" t="s">
        <v>124</v>
      </c>
      <c r="F51" s="927" t="s">
        <v>352</v>
      </c>
      <c r="G51" s="652">
        <v>420</v>
      </c>
      <c r="H51" s="652">
        <v>1442.47</v>
      </c>
      <c r="I51" s="652">
        <v>153</v>
      </c>
      <c r="J51" s="650">
        <v>252</v>
      </c>
      <c r="K51" s="650">
        <v>405</v>
      </c>
    </row>
    <row r="52" spans="1:11" ht="20.100000000000001" customHeight="1">
      <c r="A52" s="1264" t="s">
        <v>353</v>
      </c>
      <c r="B52" s="1264" t="s">
        <v>330</v>
      </c>
      <c r="C52" s="1264" t="s">
        <v>474</v>
      </c>
      <c r="D52" s="1264" t="s">
        <v>354</v>
      </c>
      <c r="E52" s="927" t="s">
        <v>124</v>
      </c>
      <c r="F52" s="1264" t="s">
        <v>332</v>
      </c>
      <c r="G52" s="1274">
        <v>660</v>
      </c>
      <c r="H52" s="1274">
        <v>2343.2220000000002</v>
      </c>
      <c r="I52" s="652">
        <v>0</v>
      </c>
      <c r="J52" s="650">
        <v>0</v>
      </c>
      <c r="K52" s="650" t="s">
        <v>1395</v>
      </c>
    </row>
    <row r="53" spans="1:11" ht="20.100000000000001" customHeight="1">
      <c r="A53" s="1264" t="s">
        <v>355</v>
      </c>
      <c r="B53" s="1264" t="s">
        <v>330</v>
      </c>
      <c r="C53" s="1264" t="s">
        <v>474</v>
      </c>
      <c r="D53" s="1264" t="s">
        <v>356</v>
      </c>
      <c r="E53" s="927" t="s">
        <v>124</v>
      </c>
      <c r="F53" s="1264" t="s">
        <v>332</v>
      </c>
      <c r="G53" s="1274">
        <v>1260</v>
      </c>
      <c r="H53" s="1274">
        <v>3926.53</v>
      </c>
      <c r="I53" s="652">
        <v>0</v>
      </c>
      <c r="J53" s="650">
        <v>0</v>
      </c>
      <c r="K53" s="650">
        <v>445.92</v>
      </c>
    </row>
    <row r="54" spans="1:11" ht="20.100000000000001" customHeight="1">
      <c r="A54" s="1264" t="s">
        <v>357</v>
      </c>
      <c r="B54" s="1264" t="s">
        <v>330</v>
      </c>
      <c r="C54" s="1264" t="s">
        <v>474</v>
      </c>
      <c r="D54" s="1264" t="s">
        <v>356</v>
      </c>
      <c r="E54" s="927" t="s">
        <v>124</v>
      </c>
      <c r="F54" s="1264" t="s">
        <v>332</v>
      </c>
      <c r="G54" s="1274">
        <v>1050</v>
      </c>
      <c r="H54" s="1274">
        <v>6533.15</v>
      </c>
      <c r="I54" s="652">
        <v>0</v>
      </c>
      <c r="J54" s="650">
        <v>0</v>
      </c>
      <c r="K54" s="650">
        <v>377.84</v>
      </c>
    </row>
    <row r="55" spans="1:11" ht="20.100000000000001" customHeight="1">
      <c r="A55" s="1264" t="s">
        <v>871</v>
      </c>
      <c r="B55" s="1264" t="s">
        <v>330</v>
      </c>
      <c r="C55" s="1264" t="s">
        <v>474</v>
      </c>
      <c r="D55" s="1264" t="s">
        <v>356</v>
      </c>
      <c r="E55" s="927" t="s">
        <v>124</v>
      </c>
      <c r="F55" s="1264" t="s">
        <v>332</v>
      </c>
      <c r="G55" s="1274">
        <v>330</v>
      </c>
      <c r="H55" s="1274">
        <v>1167.82</v>
      </c>
      <c r="I55" s="652">
        <v>0</v>
      </c>
      <c r="J55" s="650">
        <v>0</v>
      </c>
      <c r="K55" s="650">
        <v>544.46</v>
      </c>
    </row>
    <row r="56" spans="1:11" ht="20.100000000000001" customHeight="1">
      <c r="A56" s="1264" t="s">
        <v>358</v>
      </c>
      <c r="B56" s="1264" t="s">
        <v>330</v>
      </c>
      <c r="C56" s="1264" t="s">
        <v>474</v>
      </c>
      <c r="D56" s="1264" t="s">
        <v>356</v>
      </c>
      <c r="E56" s="927" t="s">
        <v>124</v>
      </c>
      <c r="F56" s="1264" t="s">
        <v>332</v>
      </c>
      <c r="G56" s="1274">
        <v>500</v>
      </c>
      <c r="H56" s="1274">
        <v>3245.67</v>
      </c>
      <c r="I56" s="652">
        <v>0</v>
      </c>
      <c r="J56" s="650">
        <v>0</v>
      </c>
      <c r="K56" s="650">
        <v>427.01</v>
      </c>
    </row>
    <row r="57" spans="1:11" ht="20.100000000000001" customHeight="1">
      <c r="A57" s="1264" t="s">
        <v>359</v>
      </c>
      <c r="B57" s="1264" t="s">
        <v>330</v>
      </c>
      <c r="C57" s="1264" t="s">
        <v>474</v>
      </c>
      <c r="D57" s="1264" t="s">
        <v>356</v>
      </c>
      <c r="E57" s="927" t="s">
        <v>124</v>
      </c>
      <c r="F57" s="1264" t="s">
        <v>332</v>
      </c>
      <c r="G57" s="1274">
        <v>1600</v>
      </c>
      <c r="H57" s="1274">
        <v>5487.19</v>
      </c>
      <c r="I57" s="652">
        <v>0</v>
      </c>
      <c r="J57" s="650">
        <v>0</v>
      </c>
      <c r="K57" s="650">
        <v>508.8</v>
      </c>
    </row>
    <row r="58" spans="1:11" ht="20.100000000000001" customHeight="1">
      <c r="A58" s="1264" t="s">
        <v>360</v>
      </c>
      <c r="B58" s="1264" t="s">
        <v>330</v>
      </c>
      <c r="C58" s="1264" t="s">
        <v>474</v>
      </c>
      <c r="D58" s="1264" t="s">
        <v>361</v>
      </c>
      <c r="E58" s="927" t="s">
        <v>108</v>
      </c>
      <c r="F58" s="1264" t="s">
        <v>332</v>
      </c>
      <c r="G58" s="1274">
        <v>44</v>
      </c>
      <c r="H58" s="1274">
        <v>195.04</v>
      </c>
      <c r="I58" s="652">
        <v>0</v>
      </c>
      <c r="J58" s="650">
        <v>0</v>
      </c>
      <c r="K58" s="650">
        <v>689</v>
      </c>
    </row>
    <row r="59" spans="1:11" ht="20.100000000000001" customHeight="1">
      <c r="A59" s="1264" t="s">
        <v>362</v>
      </c>
      <c r="B59" s="1264" t="s">
        <v>330</v>
      </c>
      <c r="C59" s="1264" t="s">
        <v>474</v>
      </c>
      <c r="D59" s="1264" t="s">
        <v>361</v>
      </c>
      <c r="E59" s="927" t="s">
        <v>108</v>
      </c>
      <c r="F59" s="1264" t="s">
        <v>332</v>
      </c>
      <c r="G59" s="1274">
        <v>51</v>
      </c>
      <c r="H59" s="1274">
        <v>234.4</v>
      </c>
      <c r="I59" s="652">
        <v>0</v>
      </c>
      <c r="J59" s="650">
        <v>0</v>
      </c>
      <c r="K59" s="650">
        <v>689</v>
      </c>
    </row>
    <row r="60" spans="1:11" ht="20.100000000000001" customHeight="1">
      <c r="A60" s="1264" t="s">
        <v>363</v>
      </c>
      <c r="B60" s="1264" t="s">
        <v>330</v>
      </c>
      <c r="C60" s="1264" t="s">
        <v>474</v>
      </c>
      <c r="D60" s="1264" t="s">
        <v>361</v>
      </c>
      <c r="E60" s="927" t="s">
        <v>108</v>
      </c>
      <c r="F60" s="1264" t="s">
        <v>332</v>
      </c>
      <c r="G60" s="1274">
        <v>67.5</v>
      </c>
      <c r="H60" s="1274">
        <v>84.6</v>
      </c>
      <c r="I60" s="652">
        <v>0</v>
      </c>
      <c r="J60" s="650">
        <v>0</v>
      </c>
      <c r="K60" s="650">
        <v>689</v>
      </c>
    </row>
    <row r="61" spans="1:11" ht="20.100000000000001" customHeight="1">
      <c r="A61" s="1264" t="s">
        <v>364</v>
      </c>
      <c r="B61" s="1264" t="s">
        <v>330</v>
      </c>
      <c r="C61" s="1264" t="s">
        <v>474</v>
      </c>
      <c r="D61" s="1264" t="s">
        <v>361</v>
      </c>
      <c r="E61" s="927" t="s">
        <v>108</v>
      </c>
      <c r="F61" s="1264" t="s">
        <v>332</v>
      </c>
      <c r="G61" s="1274">
        <v>900</v>
      </c>
      <c r="H61" s="1274">
        <v>1085.18</v>
      </c>
      <c r="I61" s="652">
        <v>0</v>
      </c>
      <c r="J61" s="650">
        <v>0</v>
      </c>
      <c r="K61" s="650">
        <v>689</v>
      </c>
    </row>
    <row r="62" spans="1:11" ht="20.100000000000001" customHeight="1">
      <c r="A62" s="1264" t="s">
        <v>565</v>
      </c>
      <c r="B62" s="1264" t="s">
        <v>330</v>
      </c>
      <c r="C62" s="1264" t="s">
        <v>474</v>
      </c>
      <c r="D62" s="1264" t="s">
        <v>361</v>
      </c>
      <c r="E62" s="927" t="s">
        <v>108</v>
      </c>
      <c r="F62" s="1264" t="s">
        <v>332</v>
      </c>
      <c r="G62" s="1274">
        <v>14.05</v>
      </c>
      <c r="H62" s="1274">
        <v>26.25</v>
      </c>
      <c r="I62" s="652">
        <v>0</v>
      </c>
      <c r="J62" s="650">
        <v>0</v>
      </c>
      <c r="K62" s="650">
        <v>689</v>
      </c>
    </row>
    <row r="63" spans="1:11" ht="20.100000000000001" customHeight="1">
      <c r="A63" s="1264" t="s">
        <v>1396</v>
      </c>
      <c r="B63" s="1264" t="s">
        <v>107</v>
      </c>
      <c r="C63" s="1264" t="s">
        <v>474</v>
      </c>
      <c r="D63" s="1264" t="s">
        <v>142</v>
      </c>
      <c r="E63" s="927" t="s">
        <v>124</v>
      </c>
      <c r="F63" s="1264" t="s">
        <v>127</v>
      </c>
      <c r="G63" s="1274">
        <v>420</v>
      </c>
      <c r="H63" s="1274">
        <v>440.43</v>
      </c>
      <c r="I63" s="652">
        <v>112</v>
      </c>
      <c r="J63" s="650">
        <v>400</v>
      </c>
      <c r="K63" s="650">
        <v>512</v>
      </c>
    </row>
    <row r="64" spans="1:11" ht="20.100000000000001" customHeight="1">
      <c r="A64" s="1264" t="s">
        <v>1397</v>
      </c>
      <c r="B64" s="1264" t="s">
        <v>107</v>
      </c>
      <c r="C64" s="1264" t="s">
        <v>474</v>
      </c>
      <c r="D64" s="1264" t="s">
        <v>142</v>
      </c>
      <c r="E64" s="927" t="s">
        <v>124</v>
      </c>
      <c r="F64" s="1264" t="s">
        <v>127</v>
      </c>
      <c r="G64" s="1274">
        <v>500</v>
      </c>
      <c r="H64" s="1274">
        <v>2634.65</v>
      </c>
      <c r="I64" s="652">
        <v>117</v>
      </c>
      <c r="J64" s="650">
        <v>358</v>
      </c>
      <c r="K64" s="650">
        <v>475</v>
      </c>
    </row>
    <row r="65" spans="1:11" ht="20.100000000000001" customHeight="1">
      <c r="A65" s="1264" t="s">
        <v>809</v>
      </c>
      <c r="B65" s="1264" t="s">
        <v>107</v>
      </c>
      <c r="C65" s="1264" t="s">
        <v>474</v>
      </c>
      <c r="D65" s="1264" t="s">
        <v>142</v>
      </c>
      <c r="E65" s="927" t="s">
        <v>124</v>
      </c>
      <c r="F65" s="1264" t="s">
        <v>127</v>
      </c>
      <c r="G65" s="1274">
        <v>600</v>
      </c>
      <c r="H65" s="1274">
        <v>3039.66</v>
      </c>
      <c r="I65" s="652">
        <v>129</v>
      </c>
      <c r="J65" s="650">
        <v>341</v>
      </c>
      <c r="K65" s="650">
        <v>470</v>
      </c>
    </row>
    <row r="66" spans="1:11" ht="20.100000000000001" customHeight="1">
      <c r="A66" s="1264" t="s">
        <v>810</v>
      </c>
      <c r="B66" s="1264" t="s">
        <v>107</v>
      </c>
      <c r="C66" s="1264" t="s">
        <v>474</v>
      </c>
      <c r="D66" s="1264" t="s">
        <v>142</v>
      </c>
      <c r="E66" s="927" t="s">
        <v>124</v>
      </c>
      <c r="F66" s="1264" t="s">
        <v>127</v>
      </c>
      <c r="G66" s="1274">
        <v>1200</v>
      </c>
      <c r="H66" s="1274">
        <v>3616.28</v>
      </c>
      <c r="I66" s="652">
        <v>104</v>
      </c>
      <c r="J66" s="650">
        <v>348</v>
      </c>
      <c r="K66" s="650">
        <v>452</v>
      </c>
    </row>
    <row r="67" spans="1:11" ht="20.100000000000001" customHeight="1">
      <c r="A67" s="1264" t="s">
        <v>580</v>
      </c>
      <c r="B67" s="1264" t="s">
        <v>107</v>
      </c>
      <c r="C67" s="1264" t="s">
        <v>474</v>
      </c>
      <c r="D67" s="1264" t="s">
        <v>142</v>
      </c>
      <c r="E67" s="927" t="s">
        <v>108</v>
      </c>
      <c r="F67" s="1264" t="s">
        <v>127</v>
      </c>
      <c r="G67" s="1274">
        <v>62.4</v>
      </c>
      <c r="H67" s="1274">
        <v>236.12</v>
      </c>
      <c r="I67" s="652">
        <v>364</v>
      </c>
      <c r="J67" s="650">
        <v>0</v>
      </c>
      <c r="K67" s="650">
        <v>364</v>
      </c>
    </row>
    <row r="68" spans="1:11" ht="20.100000000000001" customHeight="1">
      <c r="A68" s="1264" t="s">
        <v>1097</v>
      </c>
      <c r="B68" s="1264" t="s">
        <v>107</v>
      </c>
      <c r="C68" s="1264" t="s">
        <v>474</v>
      </c>
      <c r="D68" s="1264" t="s">
        <v>142</v>
      </c>
      <c r="E68" s="927" t="s">
        <v>108</v>
      </c>
      <c r="F68" s="1264" t="s">
        <v>127</v>
      </c>
      <c r="G68" s="1274">
        <v>10</v>
      </c>
      <c r="H68" s="1274">
        <v>16.16</v>
      </c>
      <c r="I68" s="652">
        <v>0</v>
      </c>
      <c r="J68" s="650">
        <v>0</v>
      </c>
      <c r="K68" s="650">
        <v>488</v>
      </c>
    </row>
    <row r="69" spans="1:11" ht="20.100000000000001" customHeight="1">
      <c r="A69" s="1264" t="s">
        <v>143</v>
      </c>
      <c r="B69" s="1264" t="s">
        <v>107</v>
      </c>
      <c r="C69" s="1264" t="s">
        <v>474</v>
      </c>
      <c r="D69" s="1264" t="s">
        <v>144</v>
      </c>
      <c r="E69" s="927" t="s">
        <v>108</v>
      </c>
      <c r="F69" s="1264" t="s">
        <v>109</v>
      </c>
      <c r="G69" s="1274">
        <v>60</v>
      </c>
      <c r="H69" s="1274">
        <v>215.595</v>
      </c>
      <c r="I69" s="652">
        <v>0</v>
      </c>
      <c r="J69" s="650">
        <v>0</v>
      </c>
      <c r="K69" s="650">
        <v>90</v>
      </c>
    </row>
    <row r="70" spans="1:11" ht="20.100000000000001" customHeight="1">
      <c r="A70" s="1264" t="s">
        <v>145</v>
      </c>
      <c r="B70" s="1264" t="s">
        <v>107</v>
      </c>
      <c r="C70" s="1264" t="s">
        <v>474</v>
      </c>
      <c r="D70" s="1264" t="s">
        <v>144</v>
      </c>
      <c r="E70" s="927" t="s">
        <v>108</v>
      </c>
      <c r="F70" s="1264" t="s">
        <v>109</v>
      </c>
      <c r="G70" s="1274">
        <v>16.95</v>
      </c>
      <c r="H70" s="1274">
        <v>59.085999999999999</v>
      </c>
      <c r="I70" s="652">
        <v>0</v>
      </c>
      <c r="J70" s="650">
        <v>0</v>
      </c>
      <c r="K70" s="650">
        <v>140</v>
      </c>
    </row>
    <row r="71" spans="1:11" ht="27.75" customHeight="1">
      <c r="A71" s="1265" t="s">
        <v>811</v>
      </c>
      <c r="B71" s="1264" t="s">
        <v>107</v>
      </c>
      <c r="C71" s="1264" t="s">
        <v>474</v>
      </c>
      <c r="D71" s="1264" t="s">
        <v>144</v>
      </c>
      <c r="E71" s="1263" t="s">
        <v>108</v>
      </c>
      <c r="F71" s="1263" t="s">
        <v>109</v>
      </c>
      <c r="G71" s="1266">
        <v>120</v>
      </c>
      <c r="H71" s="652">
        <v>590.84299999999996</v>
      </c>
      <c r="I71" s="652">
        <v>0</v>
      </c>
      <c r="J71" s="650">
        <v>0</v>
      </c>
      <c r="K71" s="650">
        <v>78</v>
      </c>
    </row>
    <row r="72" spans="1:11" ht="20.100000000000001" customHeight="1">
      <c r="A72" s="927" t="s">
        <v>146</v>
      </c>
      <c r="B72" s="1264" t="s">
        <v>107</v>
      </c>
      <c r="C72" s="1264" t="s">
        <v>474</v>
      </c>
      <c r="D72" s="927" t="s">
        <v>144</v>
      </c>
      <c r="E72" s="650" t="s">
        <v>108</v>
      </c>
      <c r="F72" s="927" t="s">
        <v>109</v>
      </c>
      <c r="G72" s="1266">
        <v>22.5</v>
      </c>
      <c r="H72" s="652">
        <v>87.022999999999996</v>
      </c>
      <c r="I72" s="652">
        <v>0</v>
      </c>
      <c r="J72" s="650">
        <v>0</v>
      </c>
      <c r="K72" s="650">
        <v>225</v>
      </c>
    </row>
    <row r="73" spans="1:11" ht="20.100000000000001" customHeight="1">
      <c r="A73" s="927" t="s">
        <v>147</v>
      </c>
      <c r="B73" s="1264" t="s">
        <v>107</v>
      </c>
      <c r="C73" s="1264" t="s">
        <v>474</v>
      </c>
      <c r="D73" s="927" t="s">
        <v>144</v>
      </c>
      <c r="E73" s="650" t="s">
        <v>108</v>
      </c>
      <c r="F73" s="927" t="s">
        <v>109</v>
      </c>
      <c r="G73" s="1266">
        <v>66</v>
      </c>
      <c r="H73" s="652">
        <v>292.36599999999999</v>
      </c>
      <c r="I73" s="652">
        <v>0</v>
      </c>
      <c r="J73" s="650">
        <v>0</v>
      </c>
      <c r="K73" s="650">
        <v>79</v>
      </c>
    </row>
    <row r="74" spans="1:11" ht="20.100000000000001" customHeight="1">
      <c r="A74" s="932" t="s">
        <v>148</v>
      </c>
      <c r="B74" s="1264" t="s">
        <v>107</v>
      </c>
      <c r="C74" s="1264" t="s">
        <v>474</v>
      </c>
      <c r="D74" s="1264" t="s">
        <v>144</v>
      </c>
      <c r="E74" s="1267" t="s">
        <v>108</v>
      </c>
      <c r="F74" s="1264" t="s">
        <v>109</v>
      </c>
      <c r="G74" s="1268">
        <v>6</v>
      </c>
      <c r="H74" s="1268">
        <v>32.183999999999997</v>
      </c>
      <c r="I74" s="1269">
        <v>0</v>
      </c>
      <c r="J74" s="650">
        <v>0</v>
      </c>
      <c r="K74" s="650">
        <v>230</v>
      </c>
    </row>
    <row r="75" spans="1:11" ht="20.100000000000001" customHeight="1">
      <c r="A75" s="932" t="s">
        <v>149</v>
      </c>
      <c r="B75" s="1264" t="s">
        <v>107</v>
      </c>
      <c r="C75" s="1264" t="s">
        <v>474</v>
      </c>
      <c r="D75" s="1264" t="s">
        <v>144</v>
      </c>
      <c r="E75" s="1267" t="s">
        <v>108</v>
      </c>
      <c r="F75" s="1264" t="s">
        <v>109</v>
      </c>
      <c r="G75" s="1268">
        <v>10.5</v>
      </c>
      <c r="H75" s="1268">
        <v>39.44</v>
      </c>
      <c r="I75" s="1269">
        <v>0</v>
      </c>
      <c r="J75" s="650">
        <v>0</v>
      </c>
      <c r="K75" s="650">
        <v>302</v>
      </c>
    </row>
    <row r="76" spans="1:11" ht="20.100000000000001" customHeight="1">
      <c r="A76" s="932" t="s">
        <v>150</v>
      </c>
      <c r="B76" s="1264" t="s">
        <v>107</v>
      </c>
      <c r="C76" s="1264" t="s">
        <v>474</v>
      </c>
      <c r="D76" s="1264" t="s">
        <v>144</v>
      </c>
      <c r="E76" s="1267" t="s">
        <v>108</v>
      </c>
      <c r="F76" s="1264" t="s">
        <v>109</v>
      </c>
      <c r="G76" s="1268">
        <v>12</v>
      </c>
      <c r="H76" s="1268">
        <v>38.491</v>
      </c>
      <c r="I76" s="1269">
        <v>0</v>
      </c>
      <c r="J76" s="650">
        <v>0</v>
      </c>
      <c r="K76" s="650">
        <v>182</v>
      </c>
    </row>
    <row r="77" spans="1:11" ht="20.100000000000001" customHeight="1">
      <c r="A77" s="932" t="s">
        <v>151</v>
      </c>
      <c r="B77" s="1264" t="s">
        <v>107</v>
      </c>
      <c r="C77" s="1264" t="s">
        <v>474</v>
      </c>
      <c r="D77" s="1264" t="s">
        <v>144</v>
      </c>
      <c r="E77" s="1267" t="s">
        <v>108</v>
      </c>
      <c r="F77" s="1264" t="s">
        <v>109</v>
      </c>
      <c r="G77" s="1268">
        <v>3</v>
      </c>
      <c r="H77" s="1268">
        <v>1.38</v>
      </c>
      <c r="I77" s="1269">
        <v>0</v>
      </c>
      <c r="J77" s="650">
        <v>0</v>
      </c>
      <c r="K77" s="650">
        <v>225</v>
      </c>
    </row>
    <row r="78" spans="1:11" ht="20.100000000000001" customHeight="1">
      <c r="A78" s="932" t="s">
        <v>152</v>
      </c>
      <c r="B78" s="1264" t="s">
        <v>107</v>
      </c>
      <c r="C78" s="1264" t="s">
        <v>474</v>
      </c>
      <c r="D78" s="1264" t="s">
        <v>144</v>
      </c>
      <c r="E78" s="1267" t="s">
        <v>108</v>
      </c>
      <c r="F78" s="1264" t="s">
        <v>109</v>
      </c>
      <c r="G78" s="1268">
        <v>4.5</v>
      </c>
      <c r="H78" s="1268">
        <v>4.3090000000000002</v>
      </c>
      <c r="I78" s="1269">
        <v>0</v>
      </c>
      <c r="J78" s="650">
        <v>0</v>
      </c>
      <c r="K78" s="650">
        <v>225</v>
      </c>
    </row>
    <row r="79" spans="1:11" ht="20.100000000000001" customHeight="1">
      <c r="A79" s="932" t="s">
        <v>153</v>
      </c>
      <c r="B79" s="1264" t="s">
        <v>107</v>
      </c>
      <c r="C79" s="1264" t="s">
        <v>474</v>
      </c>
      <c r="D79" s="1264" t="s">
        <v>144</v>
      </c>
      <c r="E79" s="1267" t="s">
        <v>108</v>
      </c>
      <c r="F79" s="1264" t="s">
        <v>109</v>
      </c>
      <c r="G79" s="1268">
        <v>12</v>
      </c>
      <c r="H79" s="1268">
        <v>43.671999999999997</v>
      </c>
      <c r="I79" s="1269">
        <v>0</v>
      </c>
      <c r="J79" s="650">
        <v>0</v>
      </c>
      <c r="K79" s="650">
        <v>225</v>
      </c>
    </row>
    <row r="80" spans="1:11" ht="20.100000000000001" customHeight="1">
      <c r="A80" s="932" t="s">
        <v>154</v>
      </c>
      <c r="B80" s="1264" t="s">
        <v>107</v>
      </c>
      <c r="C80" s="1264" t="s">
        <v>474</v>
      </c>
      <c r="D80" s="1264" t="s">
        <v>144</v>
      </c>
      <c r="E80" s="1267" t="s">
        <v>108</v>
      </c>
      <c r="F80" s="1264" t="s">
        <v>109</v>
      </c>
      <c r="G80" s="1268">
        <v>126</v>
      </c>
      <c r="H80" s="1268">
        <v>598.05999999999995</v>
      </c>
      <c r="I80" s="1269">
        <v>0</v>
      </c>
      <c r="J80" s="650">
        <v>0</v>
      </c>
      <c r="K80" s="650">
        <v>224</v>
      </c>
    </row>
    <row r="81" spans="1:11" ht="20.100000000000001" customHeight="1">
      <c r="A81" s="932" t="s">
        <v>155</v>
      </c>
      <c r="B81" s="1264" t="s">
        <v>107</v>
      </c>
      <c r="C81" s="1264" t="s">
        <v>474</v>
      </c>
      <c r="D81" s="1264" t="s">
        <v>144</v>
      </c>
      <c r="E81" s="1267" t="s">
        <v>108</v>
      </c>
      <c r="F81" s="1264" t="s">
        <v>109</v>
      </c>
      <c r="G81" s="1268">
        <v>2.5</v>
      </c>
      <c r="H81" s="1268">
        <v>3.9750000000000001</v>
      </c>
      <c r="I81" s="1269">
        <v>0</v>
      </c>
      <c r="J81" s="650">
        <v>0</v>
      </c>
      <c r="K81" s="650">
        <v>371</v>
      </c>
    </row>
    <row r="82" spans="1:11" ht="20.100000000000001" customHeight="1">
      <c r="A82" s="932" t="s">
        <v>156</v>
      </c>
      <c r="B82" s="1264" t="s">
        <v>107</v>
      </c>
      <c r="C82" s="1264" t="s">
        <v>474</v>
      </c>
      <c r="D82" s="1264" t="s">
        <v>144</v>
      </c>
      <c r="E82" s="1267" t="s">
        <v>108</v>
      </c>
      <c r="F82" s="1264" t="s">
        <v>109</v>
      </c>
      <c r="G82" s="1268">
        <v>1.75</v>
      </c>
      <c r="H82" s="1268">
        <v>5.319</v>
      </c>
      <c r="I82" s="1269">
        <v>0</v>
      </c>
      <c r="J82" s="650">
        <v>0</v>
      </c>
      <c r="K82" s="650">
        <v>280</v>
      </c>
    </row>
    <row r="83" spans="1:11" ht="20.100000000000001" customHeight="1">
      <c r="A83" s="932" t="s">
        <v>581</v>
      </c>
      <c r="B83" s="1264" t="s">
        <v>107</v>
      </c>
      <c r="C83" s="1264" t="s">
        <v>474</v>
      </c>
      <c r="D83" s="1264" t="s">
        <v>144</v>
      </c>
      <c r="E83" s="1267" t="s">
        <v>108</v>
      </c>
      <c r="F83" s="1264" t="s">
        <v>109</v>
      </c>
      <c r="G83" s="1268">
        <v>1.5</v>
      </c>
      <c r="H83" s="1268">
        <v>2.3079999999999998</v>
      </c>
      <c r="I83" s="1269">
        <v>0</v>
      </c>
      <c r="J83" s="650">
        <v>0</v>
      </c>
      <c r="K83" s="650">
        <v>161</v>
      </c>
    </row>
    <row r="84" spans="1:11" ht="20.100000000000001" customHeight="1">
      <c r="A84" s="932" t="s">
        <v>582</v>
      </c>
      <c r="B84" s="1264" t="s">
        <v>107</v>
      </c>
      <c r="C84" s="1264" t="s">
        <v>474</v>
      </c>
      <c r="D84" s="1264" t="s">
        <v>144</v>
      </c>
      <c r="E84" s="1267" t="s">
        <v>108</v>
      </c>
      <c r="F84" s="1264" t="s">
        <v>109</v>
      </c>
      <c r="G84" s="1268">
        <v>0.3</v>
      </c>
      <c r="H84" s="1268">
        <v>0.157</v>
      </c>
      <c r="I84" s="1269">
        <v>0</v>
      </c>
      <c r="J84" s="650">
        <v>0</v>
      </c>
      <c r="K84" s="650">
        <v>225</v>
      </c>
    </row>
    <row r="85" spans="1:11" ht="20.100000000000001" customHeight="1">
      <c r="A85" s="932" t="s">
        <v>1098</v>
      </c>
      <c r="B85" s="1264" t="s">
        <v>107</v>
      </c>
      <c r="C85" s="1264" t="s">
        <v>474</v>
      </c>
      <c r="D85" s="1264" t="s">
        <v>144</v>
      </c>
      <c r="E85" s="1267" t="s">
        <v>108</v>
      </c>
      <c r="F85" s="1264" t="s">
        <v>109</v>
      </c>
      <c r="G85" s="1268">
        <v>4.5</v>
      </c>
      <c r="H85" s="1268">
        <v>3.6139999999999999</v>
      </c>
      <c r="I85" s="1269">
        <v>0</v>
      </c>
      <c r="J85" s="650">
        <v>0</v>
      </c>
      <c r="K85" s="650">
        <v>225</v>
      </c>
    </row>
    <row r="86" spans="1:11" ht="20.100000000000001" customHeight="1">
      <c r="A86" s="932" t="s">
        <v>812</v>
      </c>
      <c r="B86" s="1264" t="s">
        <v>107</v>
      </c>
      <c r="C86" s="1264" t="s">
        <v>474</v>
      </c>
      <c r="D86" s="1264" t="s">
        <v>144</v>
      </c>
      <c r="E86" s="1267" t="s">
        <v>108</v>
      </c>
      <c r="F86" s="1264" t="s">
        <v>109</v>
      </c>
      <c r="G86" s="1268">
        <v>0.45</v>
      </c>
      <c r="H86" s="1268">
        <v>1.85</v>
      </c>
      <c r="I86" s="1269">
        <v>0</v>
      </c>
      <c r="J86" s="650">
        <v>0</v>
      </c>
      <c r="K86" s="650">
        <v>234</v>
      </c>
    </row>
    <row r="87" spans="1:11" ht="20.100000000000001" customHeight="1">
      <c r="A87" s="932" t="s">
        <v>653</v>
      </c>
      <c r="B87" s="1264" t="s">
        <v>107</v>
      </c>
      <c r="C87" s="1264" t="s">
        <v>474</v>
      </c>
      <c r="D87" s="1264" t="s">
        <v>144</v>
      </c>
      <c r="E87" s="1267" t="s">
        <v>108</v>
      </c>
      <c r="F87" s="1264" t="s">
        <v>109</v>
      </c>
      <c r="G87" s="1268">
        <v>3</v>
      </c>
      <c r="H87" s="1268">
        <v>5.718</v>
      </c>
      <c r="I87" s="1269">
        <v>0</v>
      </c>
      <c r="J87" s="650">
        <v>0</v>
      </c>
      <c r="K87" s="650">
        <v>225</v>
      </c>
    </row>
    <row r="88" spans="1:11" ht="20.100000000000001" customHeight="1">
      <c r="A88" s="1268" t="s">
        <v>1099</v>
      </c>
      <c r="B88" s="1264" t="s">
        <v>107</v>
      </c>
      <c r="C88" s="1264" t="s">
        <v>474</v>
      </c>
      <c r="D88" s="1264" t="s">
        <v>157</v>
      </c>
      <c r="E88" s="1267" t="s">
        <v>120</v>
      </c>
      <c r="F88" s="1264" t="s">
        <v>125</v>
      </c>
      <c r="G88" s="1268">
        <v>270</v>
      </c>
      <c r="H88" s="1268">
        <v>576.98599999999999</v>
      </c>
      <c r="I88" s="1269">
        <v>67</v>
      </c>
      <c r="J88" s="650">
        <v>496</v>
      </c>
      <c r="K88" s="650">
        <v>563</v>
      </c>
    </row>
    <row r="89" spans="1:11" ht="20.100000000000001" customHeight="1">
      <c r="A89" s="1268" t="s">
        <v>1100</v>
      </c>
      <c r="B89" s="1264" t="s">
        <v>107</v>
      </c>
      <c r="C89" s="1264" t="s">
        <v>474</v>
      </c>
      <c r="D89" s="1264" t="s">
        <v>461</v>
      </c>
      <c r="E89" s="1267" t="s">
        <v>120</v>
      </c>
      <c r="F89" s="1264" t="s">
        <v>125</v>
      </c>
      <c r="G89" s="1268">
        <v>330</v>
      </c>
      <c r="H89" s="1268">
        <v>1515.585</v>
      </c>
      <c r="I89" s="1269">
        <v>77.7</v>
      </c>
      <c r="J89" s="650">
        <v>496.62</v>
      </c>
      <c r="K89" s="650">
        <v>574.32000000000005</v>
      </c>
    </row>
    <row r="90" spans="1:11" ht="20.100000000000001" customHeight="1">
      <c r="A90" s="1268" t="s">
        <v>159</v>
      </c>
      <c r="B90" s="1264" t="s">
        <v>107</v>
      </c>
      <c r="C90" s="1264" t="s">
        <v>474</v>
      </c>
      <c r="D90" s="1264" t="s">
        <v>1101</v>
      </c>
      <c r="E90" s="1267" t="s">
        <v>108</v>
      </c>
      <c r="F90" s="1264" t="s">
        <v>160</v>
      </c>
      <c r="G90" s="1268">
        <v>105</v>
      </c>
      <c r="H90" s="1268">
        <v>556.40973199999996</v>
      </c>
      <c r="I90" s="1269">
        <v>0</v>
      </c>
      <c r="J90" s="650">
        <v>0</v>
      </c>
      <c r="K90" s="650">
        <v>51</v>
      </c>
    </row>
    <row r="91" spans="1:11" ht="20.100000000000001" customHeight="1">
      <c r="A91" s="1268" t="s">
        <v>161</v>
      </c>
      <c r="B91" s="1264" t="s">
        <v>107</v>
      </c>
      <c r="C91" s="1264" t="s">
        <v>474</v>
      </c>
      <c r="D91" s="1264" t="s">
        <v>1101</v>
      </c>
      <c r="E91" s="1267" t="s">
        <v>108</v>
      </c>
      <c r="F91" s="1264" t="s">
        <v>160</v>
      </c>
      <c r="G91" s="1268">
        <v>22.6</v>
      </c>
      <c r="H91" s="1268">
        <v>67.739990000000006</v>
      </c>
      <c r="I91" s="1269">
        <v>0</v>
      </c>
      <c r="J91" s="650">
        <v>0</v>
      </c>
      <c r="K91" s="650">
        <v>63</v>
      </c>
    </row>
    <row r="92" spans="1:11" ht="20.100000000000001" customHeight="1">
      <c r="A92" s="1268" t="s">
        <v>162</v>
      </c>
      <c r="B92" s="1264" t="s">
        <v>107</v>
      </c>
      <c r="C92" s="1264" t="s">
        <v>474</v>
      </c>
      <c r="D92" s="1264" t="s">
        <v>1101</v>
      </c>
      <c r="E92" s="1267" t="s">
        <v>108</v>
      </c>
      <c r="F92" s="1264" t="s">
        <v>160</v>
      </c>
      <c r="G92" s="1268">
        <v>105</v>
      </c>
      <c r="H92" s="1268">
        <v>305.04500000000002</v>
      </c>
      <c r="I92" s="1269">
        <v>0</v>
      </c>
      <c r="J92" s="650">
        <v>0</v>
      </c>
      <c r="K92" s="650">
        <v>85</v>
      </c>
    </row>
    <row r="93" spans="1:11" ht="20.100000000000001" customHeight="1">
      <c r="A93" s="1268" t="s">
        <v>163</v>
      </c>
      <c r="B93" s="1264" t="s">
        <v>107</v>
      </c>
      <c r="C93" s="1264" t="s">
        <v>474</v>
      </c>
      <c r="D93" s="1264" t="s">
        <v>1101</v>
      </c>
      <c r="E93" s="1267" t="s">
        <v>108</v>
      </c>
      <c r="F93" s="1264" t="s">
        <v>160</v>
      </c>
      <c r="G93" s="1268">
        <v>15</v>
      </c>
      <c r="H93" s="1268">
        <v>13.924220999999999</v>
      </c>
      <c r="I93" s="1269">
        <v>0</v>
      </c>
      <c r="J93" s="650">
        <v>0</v>
      </c>
      <c r="K93" s="650">
        <v>47</v>
      </c>
    </row>
    <row r="94" spans="1:11" ht="20.100000000000001" customHeight="1">
      <c r="A94" s="1267" t="s">
        <v>164</v>
      </c>
      <c r="B94" s="1264" t="s">
        <v>107</v>
      </c>
      <c r="C94" s="1264" t="s">
        <v>474</v>
      </c>
      <c r="D94" s="1267" t="s">
        <v>1101</v>
      </c>
      <c r="E94" s="1267" t="s">
        <v>108</v>
      </c>
      <c r="F94" s="1264" t="s">
        <v>160</v>
      </c>
      <c r="G94" s="1269">
        <v>2</v>
      </c>
      <c r="H94" s="1269">
        <v>7.4401999999999999</v>
      </c>
      <c r="I94" s="1269">
        <v>0</v>
      </c>
      <c r="J94" s="650">
        <v>0</v>
      </c>
      <c r="K94" s="650">
        <v>310</v>
      </c>
    </row>
    <row r="95" spans="1:11" ht="20.100000000000001" customHeight="1">
      <c r="A95" s="1267" t="s">
        <v>165</v>
      </c>
      <c r="B95" s="1264" t="s">
        <v>107</v>
      </c>
      <c r="C95" s="1264" t="s">
        <v>474</v>
      </c>
      <c r="D95" s="1267" t="s">
        <v>1101</v>
      </c>
      <c r="E95" s="1267" t="s">
        <v>108</v>
      </c>
      <c r="F95" s="1264" t="s">
        <v>160</v>
      </c>
      <c r="G95" s="1269">
        <v>23.3</v>
      </c>
      <c r="H95" s="1269">
        <v>60.904117999999997</v>
      </c>
      <c r="I95" s="1269">
        <v>0</v>
      </c>
      <c r="J95" s="650">
        <v>0</v>
      </c>
      <c r="K95" s="650">
        <v>66</v>
      </c>
    </row>
    <row r="96" spans="1:11" ht="20.100000000000001" customHeight="1">
      <c r="A96" s="930" t="s">
        <v>166</v>
      </c>
      <c r="B96" s="1270" t="s">
        <v>107</v>
      </c>
      <c r="C96" s="1270" t="s">
        <v>474</v>
      </c>
      <c r="D96" s="930" t="s">
        <v>1101</v>
      </c>
      <c r="E96" s="930" t="s">
        <v>108</v>
      </c>
      <c r="F96" s="1271" t="s">
        <v>160</v>
      </c>
      <c r="G96" s="1272">
        <v>2</v>
      </c>
      <c r="H96" s="1272">
        <v>4.5438809999999998</v>
      </c>
      <c r="I96" s="1275">
        <v>0</v>
      </c>
      <c r="J96" s="650">
        <v>0</v>
      </c>
      <c r="K96" s="650">
        <v>93</v>
      </c>
    </row>
    <row r="97" spans="1:11" ht="20.100000000000001" customHeight="1">
      <c r="A97" s="930" t="s">
        <v>167</v>
      </c>
      <c r="B97" s="1270" t="s">
        <v>107</v>
      </c>
      <c r="C97" s="1270" t="s">
        <v>474</v>
      </c>
      <c r="D97" s="930" t="s">
        <v>1101</v>
      </c>
      <c r="E97" s="930" t="s">
        <v>108</v>
      </c>
      <c r="F97" s="1271" t="s">
        <v>160</v>
      </c>
      <c r="G97" s="1272">
        <v>7.5</v>
      </c>
      <c r="H97" s="1272">
        <v>7.5278239999999998</v>
      </c>
      <c r="I97" s="1275">
        <v>0</v>
      </c>
      <c r="J97" s="650">
        <v>0</v>
      </c>
      <c r="K97" s="650">
        <v>142</v>
      </c>
    </row>
    <row r="98" spans="1:11" ht="20.100000000000001" customHeight="1">
      <c r="A98" s="930" t="s">
        <v>168</v>
      </c>
      <c r="B98" s="1270" t="s">
        <v>107</v>
      </c>
      <c r="C98" s="1270" t="s">
        <v>474</v>
      </c>
      <c r="D98" s="930" t="s">
        <v>1101</v>
      </c>
      <c r="E98" s="930" t="s">
        <v>108</v>
      </c>
      <c r="F98" s="1271" t="s">
        <v>160</v>
      </c>
      <c r="G98" s="1272">
        <v>3.75</v>
      </c>
      <c r="H98" s="1272">
        <v>4.6164399999999999</v>
      </c>
      <c r="I98" s="1275">
        <v>0</v>
      </c>
      <c r="J98" s="650">
        <v>0</v>
      </c>
      <c r="K98" s="650">
        <v>185</v>
      </c>
    </row>
    <row r="99" spans="1:11" ht="20.100000000000001" customHeight="1">
      <c r="A99" s="930" t="s">
        <v>654</v>
      </c>
      <c r="B99" s="1270" t="s">
        <v>107</v>
      </c>
      <c r="C99" s="1270" t="s">
        <v>474</v>
      </c>
      <c r="D99" s="930" t="s">
        <v>1101</v>
      </c>
      <c r="E99" s="930" t="s">
        <v>108</v>
      </c>
      <c r="F99" s="1271" t="s">
        <v>160</v>
      </c>
      <c r="G99" s="1272">
        <v>3</v>
      </c>
      <c r="H99" s="1272">
        <v>1.514443</v>
      </c>
      <c r="I99" s="1275">
        <v>0</v>
      </c>
      <c r="J99" s="650">
        <v>0</v>
      </c>
      <c r="K99" s="650">
        <v>297</v>
      </c>
    </row>
    <row r="100" spans="1:11" ht="20.100000000000001" customHeight="1">
      <c r="A100" s="930" t="s">
        <v>169</v>
      </c>
      <c r="B100" s="1270" t="s">
        <v>107</v>
      </c>
      <c r="C100" s="1270" t="s">
        <v>474</v>
      </c>
      <c r="D100" s="930" t="s">
        <v>1101</v>
      </c>
      <c r="E100" s="930" t="s">
        <v>108</v>
      </c>
      <c r="F100" s="1271" t="s">
        <v>160</v>
      </c>
      <c r="G100" s="1272">
        <v>4.5</v>
      </c>
      <c r="H100" s="1272">
        <v>2.5843069999999999</v>
      </c>
      <c r="I100" s="1275">
        <v>0</v>
      </c>
      <c r="J100" s="650">
        <v>0</v>
      </c>
      <c r="K100" s="650">
        <v>329</v>
      </c>
    </row>
    <row r="101" spans="1:11" ht="20.100000000000001" customHeight="1">
      <c r="A101" s="930" t="s">
        <v>170</v>
      </c>
      <c r="B101" s="1270" t="s">
        <v>107</v>
      </c>
      <c r="C101" s="1270" t="s">
        <v>474</v>
      </c>
      <c r="D101" s="930" t="s">
        <v>1101</v>
      </c>
      <c r="E101" s="930" t="s">
        <v>108</v>
      </c>
      <c r="F101" s="1271" t="s">
        <v>160</v>
      </c>
      <c r="G101" s="1272">
        <v>0.75</v>
      </c>
      <c r="H101" s="1272">
        <v>0.31797799999999998</v>
      </c>
      <c r="I101" s="1275">
        <v>0</v>
      </c>
      <c r="J101" s="650">
        <v>0</v>
      </c>
      <c r="K101" s="650">
        <v>298</v>
      </c>
    </row>
    <row r="102" spans="1:11" ht="20.100000000000001" customHeight="1">
      <c r="A102" s="930" t="s">
        <v>171</v>
      </c>
      <c r="B102" s="1270" t="s">
        <v>107</v>
      </c>
      <c r="C102" s="1270" t="s">
        <v>474</v>
      </c>
      <c r="D102" s="930" t="s">
        <v>1101</v>
      </c>
      <c r="E102" s="930" t="s">
        <v>108</v>
      </c>
      <c r="F102" s="1271" t="s">
        <v>160</v>
      </c>
      <c r="G102" s="1272">
        <v>1</v>
      </c>
      <c r="H102" s="1272">
        <v>0.71633000000000002</v>
      </c>
      <c r="I102" s="1275">
        <v>0</v>
      </c>
      <c r="J102" s="650">
        <v>0</v>
      </c>
      <c r="K102" s="650">
        <v>287</v>
      </c>
    </row>
    <row r="103" spans="1:11" ht="20.100000000000001" customHeight="1">
      <c r="A103" s="930" t="s">
        <v>583</v>
      </c>
      <c r="B103" s="1270" t="s">
        <v>107</v>
      </c>
      <c r="C103" s="1270" t="s">
        <v>474</v>
      </c>
      <c r="D103" s="930" t="s">
        <v>1101</v>
      </c>
      <c r="E103" s="930" t="s">
        <v>108</v>
      </c>
      <c r="F103" s="1271" t="s">
        <v>160</v>
      </c>
      <c r="G103" s="1272">
        <v>1.26</v>
      </c>
      <c r="H103" s="1272">
        <v>0.1602402</v>
      </c>
      <c r="I103" s="1275">
        <v>0</v>
      </c>
      <c r="J103" s="650">
        <v>0</v>
      </c>
      <c r="K103" s="650">
        <v>360</v>
      </c>
    </row>
    <row r="104" spans="1:11" ht="20.100000000000001" customHeight="1">
      <c r="A104" s="930" t="s">
        <v>813</v>
      </c>
      <c r="B104" s="1270" t="s">
        <v>107</v>
      </c>
      <c r="C104" s="1270" t="s">
        <v>474</v>
      </c>
      <c r="D104" s="930" t="s">
        <v>1101</v>
      </c>
      <c r="E104" s="930" t="s">
        <v>108</v>
      </c>
      <c r="F104" s="1271" t="s">
        <v>160</v>
      </c>
      <c r="G104" s="1272">
        <v>1.5</v>
      </c>
      <c r="H104" s="1272">
        <v>0.38638</v>
      </c>
      <c r="I104" s="1275">
        <v>0</v>
      </c>
      <c r="J104" s="650">
        <v>0</v>
      </c>
      <c r="K104" s="650">
        <v>89</v>
      </c>
    </row>
    <row r="105" spans="1:11" ht="20.100000000000001" customHeight="1">
      <c r="A105" s="650" t="s">
        <v>814</v>
      </c>
      <c r="B105" s="1264" t="s">
        <v>107</v>
      </c>
      <c r="C105" s="1264" t="s">
        <v>474</v>
      </c>
      <c r="D105" s="927" t="s">
        <v>1101</v>
      </c>
      <c r="E105" s="927" t="s">
        <v>108</v>
      </c>
      <c r="F105" s="650" t="s">
        <v>160</v>
      </c>
      <c r="G105" s="651">
        <v>0.3</v>
      </c>
      <c r="H105" s="651">
        <v>0.31442599999999998</v>
      </c>
      <c r="I105" s="652">
        <v>0</v>
      </c>
      <c r="J105" s="650">
        <v>0</v>
      </c>
      <c r="K105" s="650">
        <v>333</v>
      </c>
    </row>
    <row r="106" spans="1:11" ht="20.100000000000001" customHeight="1">
      <c r="A106" s="650" t="s">
        <v>815</v>
      </c>
      <c r="B106" s="1264" t="s">
        <v>107</v>
      </c>
      <c r="C106" s="1273" t="s">
        <v>474</v>
      </c>
      <c r="D106" s="927" t="s">
        <v>1101</v>
      </c>
      <c r="E106" s="927" t="s">
        <v>108</v>
      </c>
      <c r="F106" s="650" t="s">
        <v>160</v>
      </c>
      <c r="G106" s="651">
        <v>0.1</v>
      </c>
      <c r="H106" s="651">
        <v>7.6572000000000001E-2</v>
      </c>
      <c r="I106" s="652">
        <v>0</v>
      </c>
      <c r="J106" s="650">
        <v>0</v>
      </c>
      <c r="K106" s="650">
        <v>354</v>
      </c>
    </row>
    <row r="107" spans="1:11" ht="20.100000000000001" customHeight="1">
      <c r="A107" s="932" t="s">
        <v>816</v>
      </c>
      <c r="B107" s="1264" t="s">
        <v>107</v>
      </c>
      <c r="C107" s="1273" t="s">
        <v>474</v>
      </c>
      <c r="D107" s="927" t="s">
        <v>1101</v>
      </c>
      <c r="E107" s="927" t="s">
        <v>108</v>
      </c>
      <c r="F107" s="650" t="s">
        <v>160</v>
      </c>
      <c r="G107" s="651">
        <v>0.4</v>
      </c>
      <c r="H107" s="651">
        <v>0.51096299999999995</v>
      </c>
      <c r="I107" s="652">
        <v>0</v>
      </c>
      <c r="J107" s="650">
        <v>0</v>
      </c>
      <c r="K107" s="650">
        <v>262</v>
      </c>
    </row>
    <row r="108" spans="1:11" ht="20.100000000000001" customHeight="1">
      <c r="A108" s="932" t="s">
        <v>1398</v>
      </c>
      <c r="B108" s="1264" t="s">
        <v>107</v>
      </c>
      <c r="C108" s="1273" t="s">
        <v>474</v>
      </c>
      <c r="D108" s="927" t="s">
        <v>1101</v>
      </c>
      <c r="E108" s="927" t="s">
        <v>108</v>
      </c>
      <c r="F108" s="650" t="s">
        <v>160</v>
      </c>
      <c r="G108" s="651">
        <v>0</v>
      </c>
      <c r="H108" s="652">
        <v>895.50466902999995</v>
      </c>
      <c r="I108" s="652">
        <v>0</v>
      </c>
      <c r="J108" s="650">
        <v>0</v>
      </c>
      <c r="K108" s="650">
        <v>269</v>
      </c>
    </row>
    <row r="109" spans="1:11" ht="20.100000000000001" customHeight="1">
      <c r="A109" s="650" t="s">
        <v>1102</v>
      </c>
      <c r="B109" s="1264" t="s">
        <v>107</v>
      </c>
      <c r="C109" s="1273" t="s">
        <v>474</v>
      </c>
      <c r="D109" s="927" t="s">
        <v>1101</v>
      </c>
      <c r="E109" s="650" t="s">
        <v>108</v>
      </c>
      <c r="F109" s="650" t="s">
        <v>160</v>
      </c>
      <c r="G109" s="651">
        <v>450</v>
      </c>
      <c r="H109" s="651">
        <v>1097.774083</v>
      </c>
      <c r="I109" s="652">
        <v>0</v>
      </c>
      <c r="J109" s="650">
        <v>0</v>
      </c>
      <c r="K109" s="650">
        <v>269</v>
      </c>
    </row>
    <row r="110" spans="1:11" ht="24.75" customHeight="1">
      <c r="A110" s="650" t="s">
        <v>1399</v>
      </c>
      <c r="B110" s="1264" t="s">
        <v>107</v>
      </c>
      <c r="C110" s="1273" t="s">
        <v>10</v>
      </c>
      <c r="D110" s="927" t="s">
        <v>1400</v>
      </c>
      <c r="E110" s="927" t="s">
        <v>124</v>
      </c>
      <c r="F110" s="650" t="s">
        <v>808</v>
      </c>
      <c r="G110" s="651">
        <v>1320</v>
      </c>
      <c r="H110" s="651">
        <v>6435.09</v>
      </c>
      <c r="I110" s="652">
        <v>106.8</v>
      </c>
      <c r="J110" s="650">
        <v>344.41</v>
      </c>
      <c r="K110" s="650">
        <v>451.21000000000004</v>
      </c>
    </row>
    <row r="111" spans="1:11" ht="20.100000000000001" customHeight="1">
      <c r="A111" s="650" t="s">
        <v>818</v>
      </c>
      <c r="B111" s="1264" t="s">
        <v>107</v>
      </c>
      <c r="C111" s="1273" t="s">
        <v>10</v>
      </c>
      <c r="D111" s="927" t="s">
        <v>819</v>
      </c>
      <c r="E111" s="927" t="s">
        <v>108</v>
      </c>
      <c r="F111" s="650" t="s">
        <v>115</v>
      </c>
      <c r="G111" s="651">
        <v>330</v>
      </c>
      <c r="H111" s="651">
        <v>1370.7</v>
      </c>
      <c r="I111" s="652">
        <v>232</v>
      </c>
      <c r="J111" s="650">
        <v>232</v>
      </c>
      <c r="K111" s="650">
        <v>464</v>
      </c>
    </row>
    <row r="112" spans="1:11" ht="19.5" customHeight="1">
      <c r="A112" s="650" t="s">
        <v>1401</v>
      </c>
      <c r="B112" s="1264" t="s">
        <v>107</v>
      </c>
      <c r="C112" s="1273" t="s">
        <v>10</v>
      </c>
      <c r="D112" s="927" t="s">
        <v>820</v>
      </c>
      <c r="E112" s="927" t="s">
        <v>1113</v>
      </c>
      <c r="F112" s="650" t="s">
        <v>115</v>
      </c>
      <c r="G112" s="651">
        <v>214</v>
      </c>
      <c r="H112" s="651">
        <v>401.81099999999998</v>
      </c>
      <c r="I112" s="652">
        <v>124.8</v>
      </c>
      <c r="J112" s="650">
        <v>538</v>
      </c>
      <c r="K112" s="650">
        <v>662.8</v>
      </c>
    </row>
    <row r="113" spans="1:11" ht="20.100000000000001" customHeight="1">
      <c r="A113" s="927" t="s">
        <v>667</v>
      </c>
      <c r="B113" s="1264" t="s">
        <v>207</v>
      </c>
      <c r="C113" s="1273" t="s">
        <v>10</v>
      </c>
      <c r="D113" s="927" t="s">
        <v>668</v>
      </c>
      <c r="E113" s="927" t="s">
        <v>124</v>
      </c>
      <c r="F113" s="927" t="s">
        <v>210</v>
      </c>
      <c r="G113" s="652">
        <v>500</v>
      </c>
      <c r="H113" s="652">
        <v>2300.27</v>
      </c>
      <c r="I113" s="652">
        <v>211.7</v>
      </c>
      <c r="J113" s="650">
        <v>312.7</v>
      </c>
      <c r="K113" s="650">
        <v>524.4</v>
      </c>
    </row>
    <row r="114" spans="1:11" ht="20.100000000000001" customHeight="1">
      <c r="A114" s="927" t="s">
        <v>1402</v>
      </c>
      <c r="B114" s="1264" t="s">
        <v>207</v>
      </c>
      <c r="C114" s="1273" t="s">
        <v>10</v>
      </c>
      <c r="D114" s="927" t="s">
        <v>668</v>
      </c>
      <c r="E114" s="927" t="s">
        <v>124</v>
      </c>
      <c r="F114" s="927" t="s">
        <v>210</v>
      </c>
      <c r="G114" s="652">
        <v>1320</v>
      </c>
      <c r="H114" s="652">
        <v>6916.2</v>
      </c>
      <c r="I114" s="652">
        <v>203.1</v>
      </c>
      <c r="J114" s="650">
        <v>46</v>
      </c>
      <c r="K114" s="650">
        <v>249.1</v>
      </c>
    </row>
    <row r="115" spans="1:11" ht="20.100000000000001" customHeight="1">
      <c r="A115" s="927" t="s">
        <v>1403</v>
      </c>
      <c r="B115" s="1264" t="s">
        <v>107</v>
      </c>
      <c r="C115" s="1273" t="s">
        <v>10</v>
      </c>
      <c r="D115" s="927" t="s">
        <v>668</v>
      </c>
      <c r="E115" s="927" t="s">
        <v>124</v>
      </c>
      <c r="F115" s="927" t="s">
        <v>1404</v>
      </c>
      <c r="G115" s="652">
        <v>1980</v>
      </c>
      <c r="H115" s="652">
        <v>7200.3959999999997</v>
      </c>
      <c r="I115" s="652">
        <v>130</v>
      </c>
      <c r="J115" s="650">
        <v>232.8</v>
      </c>
      <c r="K115" s="650">
        <v>362.8</v>
      </c>
    </row>
    <row r="116" spans="1:11" ht="29.25" customHeight="1">
      <c r="A116" s="927" t="s">
        <v>1127</v>
      </c>
      <c r="B116" s="1264" t="s">
        <v>207</v>
      </c>
      <c r="C116" s="1273" t="s">
        <v>10</v>
      </c>
      <c r="D116" s="927" t="s">
        <v>830</v>
      </c>
      <c r="E116" s="927" t="s">
        <v>124</v>
      </c>
      <c r="F116" s="927" t="s">
        <v>210</v>
      </c>
      <c r="G116" s="652">
        <v>1200</v>
      </c>
      <c r="H116" s="652">
        <v>6690</v>
      </c>
      <c r="I116" s="652">
        <v>191</v>
      </c>
      <c r="J116" s="650">
        <v>224</v>
      </c>
      <c r="K116" s="650">
        <v>415</v>
      </c>
    </row>
    <row r="117" spans="1:11" ht="20.100000000000001" customHeight="1">
      <c r="A117" s="927" t="s">
        <v>831</v>
      </c>
      <c r="B117" s="1264" t="s">
        <v>207</v>
      </c>
      <c r="C117" s="1273" t="s">
        <v>10</v>
      </c>
      <c r="D117" s="927" t="s">
        <v>1128</v>
      </c>
      <c r="E117" s="927" t="s">
        <v>124</v>
      </c>
      <c r="F117" s="927" t="s">
        <v>210</v>
      </c>
      <c r="G117" s="652">
        <v>1200</v>
      </c>
      <c r="H117" s="652">
        <v>3003.4</v>
      </c>
      <c r="I117" s="652">
        <v>0</v>
      </c>
      <c r="J117" s="650">
        <v>0</v>
      </c>
      <c r="K117" s="650">
        <v>460</v>
      </c>
    </row>
    <row r="118" spans="1:11" ht="20.100000000000001" customHeight="1">
      <c r="A118" s="927" t="s">
        <v>1405</v>
      </c>
      <c r="B118" s="1264" t="s">
        <v>207</v>
      </c>
      <c r="C118" s="1273" t="s">
        <v>10</v>
      </c>
      <c r="D118" s="927" t="s">
        <v>1406</v>
      </c>
      <c r="E118" s="927" t="s">
        <v>124</v>
      </c>
      <c r="F118" s="927" t="s">
        <v>210</v>
      </c>
      <c r="G118" s="652">
        <v>600</v>
      </c>
      <c r="H118" s="652">
        <v>2343173.9</v>
      </c>
      <c r="I118" s="652">
        <v>182.87</v>
      </c>
      <c r="J118" s="650">
        <v>261.39</v>
      </c>
      <c r="K118" s="650">
        <v>444.27</v>
      </c>
    </row>
    <row r="119" spans="1:11" ht="25.5" customHeight="1">
      <c r="A119" s="927" t="s">
        <v>1407</v>
      </c>
      <c r="B119" s="1264" t="s">
        <v>207</v>
      </c>
      <c r="C119" s="1273" t="s">
        <v>10</v>
      </c>
      <c r="D119" s="927" t="s">
        <v>1408</v>
      </c>
      <c r="E119" s="927" t="s">
        <v>124</v>
      </c>
      <c r="F119" s="927" t="s">
        <v>220</v>
      </c>
      <c r="G119" s="652">
        <v>270</v>
      </c>
      <c r="H119" s="652">
        <v>135.49100000000001</v>
      </c>
      <c r="I119" s="652">
        <v>0</v>
      </c>
      <c r="J119" s="650">
        <v>0</v>
      </c>
      <c r="K119" s="650">
        <v>276</v>
      </c>
    </row>
    <row r="120" spans="1:11" ht="20.100000000000001" customHeight="1">
      <c r="A120" s="927" t="s">
        <v>585</v>
      </c>
      <c r="B120" s="1264" t="s">
        <v>107</v>
      </c>
      <c r="C120" s="1273" t="s">
        <v>10</v>
      </c>
      <c r="D120" s="927" t="s">
        <v>197</v>
      </c>
      <c r="E120" s="927" t="s">
        <v>108</v>
      </c>
      <c r="F120" s="927" t="s">
        <v>109</v>
      </c>
      <c r="G120" s="652">
        <v>86</v>
      </c>
      <c r="H120" s="652">
        <v>237.23</v>
      </c>
      <c r="I120" s="652">
        <v>0</v>
      </c>
      <c r="J120" s="650">
        <v>0</v>
      </c>
      <c r="K120" s="650">
        <v>407.72</v>
      </c>
    </row>
    <row r="121" spans="1:11" ht="20.100000000000001" customHeight="1">
      <c r="A121" s="927" t="s">
        <v>586</v>
      </c>
      <c r="B121" s="1264" t="s">
        <v>107</v>
      </c>
      <c r="C121" s="1273" t="s">
        <v>10</v>
      </c>
      <c r="D121" s="927" t="s">
        <v>198</v>
      </c>
      <c r="E121" s="927" t="s">
        <v>108</v>
      </c>
      <c r="F121" s="927" t="s">
        <v>109</v>
      </c>
      <c r="G121" s="652">
        <v>100</v>
      </c>
      <c r="H121" s="652">
        <v>324.26299999999998</v>
      </c>
      <c r="I121" s="652">
        <v>212.07</v>
      </c>
      <c r="J121" s="650">
        <v>212.07</v>
      </c>
      <c r="K121" s="650">
        <v>424.14</v>
      </c>
    </row>
    <row r="122" spans="1:11" ht="25.5" customHeight="1">
      <c r="A122" s="927" t="s">
        <v>196</v>
      </c>
      <c r="B122" s="1264" t="s">
        <v>107</v>
      </c>
      <c r="C122" s="1273" t="s">
        <v>10</v>
      </c>
      <c r="D122" s="927" t="s">
        <v>1114</v>
      </c>
      <c r="E122" s="927" t="s">
        <v>108</v>
      </c>
      <c r="F122" s="927" t="s">
        <v>109</v>
      </c>
      <c r="G122" s="652">
        <v>1000</v>
      </c>
      <c r="H122" s="652">
        <v>3942.1858000000002</v>
      </c>
      <c r="I122" s="652">
        <v>0</v>
      </c>
      <c r="J122" s="650">
        <v>0</v>
      </c>
      <c r="K122" s="650">
        <v>348</v>
      </c>
    </row>
    <row r="123" spans="1:11" ht="21.75" customHeight="1">
      <c r="A123" s="927" t="s">
        <v>1115</v>
      </c>
      <c r="B123" s="1264" t="s">
        <v>107</v>
      </c>
      <c r="C123" s="1273" t="s">
        <v>10</v>
      </c>
      <c r="D123" s="927" t="s">
        <v>1114</v>
      </c>
      <c r="E123" s="927" t="s">
        <v>108</v>
      </c>
      <c r="F123" s="927" t="s">
        <v>109</v>
      </c>
      <c r="G123" s="652">
        <v>300</v>
      </c>
      <c r="H123" s="652">
        <v>1261.4663</v>
      </c>
      <c r="I123" s="652">
        <v>11</v>
      </c>
      <c r="J123" s="650">
        <v>128</v>
      </c>
      <c r="K123" s="650">
        <v>139</v>
      </c>
    </row>
    <row r="124" spans="1:11" ht="20.100000000000001" customHeight="1">
      <c r="A124" s="927" t="s">
        <v>536</v>
      </c>
      <c r="B124" s="1264" t="s">
        <v>107</v>
      </c>
      <c r="C124" s="1273" t="s">
        <v>10</v>
      </c>
      <c r="D124" s="927" t="s">
        <v>537</v>
      </c>
      <c r="E124" s="927" t="s">
        <v>108</v>
      </c>
      <c r="F124" s="927" t="s">
        <v>109</v>
      </c>
      <c r="G124" s="652">
        <v>192</v>
      </c>
      <c r="H124" s="652">
        <v>502.56</v>
      </c>
      <c r="I124" s="652">
        <v>0</v>
      </c>
      <c r="J124" s="650">
        <v>0</v>
      </c>
      <c r="K124" s="650">
        <v>464.96</v>
      </c>
    </row>
    <row r="125" spans="1:11" ht="20.100000000000001" customHeight="1">
      <c r="A125" s="927" t="s">
        <v>1409</v>
      </c>
      <c r="B125" s="1264" t="s">
        <v>107</v>
      </c>
      <c r="C125" s="1273" t="s">
        <v>474</v>
      </c>
      <c r="D125" s="927" t="s">
        <v>1103</v>
      </c>
      <c r="E125" s="927" t="s">
        <v>108</v>
      </c>
      <c r="F125" s="927" t="s">
        <v>109</v>
      </c>
      <c r="G125" s="652">
        <v>5</v>
      </c>
      <c r="H125" s="652">
        <v>1.81</v>
      </c>
      <c r="I125" s="652">
        <v>0</v>
      </c>
      <c r="J125" s="650">
        <v>0</v>
      </c>
      <c r="K125" s="650">
        <v>431</v>
      </c>
    </row>
    <row r="126" spans="1:11" ht="20.100000000000001" customHeight="1">
      <c r="A126" s="927" t="s">
        <v>821</v>
      </c>
      <c r="B126" s="1264" t="s">
        <v>107</v>
      </c>
      <c r="C126" s="1273" t="s">
        <v>474</v>
      </c>
      <c r="D126" s="927" t="s">
        <v>1103</v>
      </c>
      <c r="E126" s="927" t="s">
        <v>108</v>
      </c>
      <c r="F126" s="927" t="s">
        <v>109</v>
      </c>
      <c r="G126" s="652">
        <v>65</v>
      </c>
      <c r="H126" s="652">
        <v>116.39</v>
      </c>
      <c r="I126" s="652">
        <v>0</v>
      </c>
      <c r="J126" s="650">
        <v>0</v>
      </c>
      <c r="K126" s="650">
        <v>282</v>
      </c>
    </row>
    <row r="127" spans="1:11" ht="20.100000000000001" customHeight="1">
      <c r="A127" s="927" t="s">
        <v>1104</v>
      </c>
      <c r="B127" s="1264" t="s">
        <v>107</v>
      </c>
      <c r="C127" s="1273" t="s">
        <v>474</v>
      </c>
      <c r="D127" s="927" t="s">
        <v>1103</v>
      </c>
      <c r="E127" s="927" t="s">
        <v>108</v>
      </c>
      <c r="F127" s="927" t="s">
        <v>109</v>
      </c>
      <c r="G127" s="652">
        <v>100</v>
      </c>
      <c r="H127" s="652">
        <v>352.4</v>
      </c>
      <c r="I127" s="652">
        <v>0</v>
      </c>
      <c r="J127" s="650">
        <v>0</v>
      </c>
      <c r="K127" s="650">
        <v>389</v>
      </c>
    </row>
    <row r="128" spans="1:11" ht="20.100000000000001" customHeight="1">
      <c r="A128" s="927" t="s">
        <v>822</v>
      </c>
      <c r="B128" s="1264" t="s">
        <v>107</v>
      </c>
      <c r="C128" s="1273" t="s">
        <v>10</v>
      </c>
      <c r="D128" s="927" t="s">
        <v>823</v>
      </c>
      <c r="E128" s="927" t="s">
        <v>124</v>
      </c>
      <c r="F128" s="927" t="s">
        <v>172</v>
      </c>
      <c r="G128" s="652">
        <v>1400</v>
      </c>
      <c r="H128" s="652">
        <v>8645.0475999999999</v>
      </c>
      <c r="I128" s="652">
        <v>145</v>
      </c>
      <c r="J128" s="650">
        <v>330</v>
      </c>
      <c r="K128" s="650">
        <v>475</v>
      </c>
    </row>
    <row r="129" spans="1:11" ht="20.100000000000001" customHeight="1">
      <c r="A129" s="927" t="s">
        <v>822</v>
      </c>
      <c r="B129" s="1264" t="s">
        <v>107</v>
      </c>
      <c r="C129" s="1273" t="s">
        <v>10</v>
      </c>
      <c r="D129" s="927" t="s">
        <v>1410</v>
      </c>
      <c r="E129" s="927" t="s">
        <v>124</v>
      </c>
      <c r="F129" s="927" t="s">
        <v>172</v>
      </c>
      <c r="G129" s="652">
        <v>1400</v>
      </c>
      <c r="H129" s="652">
        <v>8677.16</v>
      </c>
      <c r="I129" s="652">
        <v>136.88999999999999</v>
      </c>
      <c r="J129" s="650">
        <v>305.55</v>
      </c>
      <c r="K129" s="650">
        <v>442.44</v>
      </c>
    </row>
    <row r="130" spans="1:11" ht="25.5" customHeight="1">
      <c r="A130" s="927" t="s">
        <v>1411</v>
      </c>
      <c r="B130" s="1264" t="s">
        <v>107</v>
      </c>
      <c r="C130" s="1273" t="s">
        <v>10</v>
      </c>
      <c r="D130" s="927" t="s">
        <v>1412</v>
      </c>
      <c r="E130" s="927" t="s">
        <v>158</v>
      </c>
      <c r="F130" s="927" t="s">
        <v>172</v>
      </c>
      <c r="G130" s="652">
        <v>1980</v>
      </c>
      <c r="H130" s="652">
        <v>9837.3799999999992</v>
      </c>
      <c r="I130" s="652">
        <v>140.97</v>
      </c>
      <c r="J130" s="650">
        <v>310.17</v>
      </c>
      <c r="K130" s="650">
        <v>451.14</v>
      </c>
    </row>
    <row r="131" spans="1:11" ht="20.100000000000001" customHeight="1">
      <c r="A131" s="927" t="s">
        <v>201</v>
      </c>
      <c r="B131" s="1264" t="s">
        <v>107</v>
      </c>
      <c r="C131" s="1273" t="s">
        <v>10</v>
      </c>
      <c r="D131" s="927" t="s">
        <v>202</v>
      </c>
      <c r="E131" s="927" t="s">
        <v>124</v>
      </c>
      <c r="F131" s="927" t="s">
        <v>123</v>
      </c>
      <c r="G131" s="652">
        <v>90</v>
      </c>
      <c r="H131" s="652">
        <v>129</v>
      </c>
      <c r="I131" s="652">
        <v>185</v>
      </c>
      <c r="J131" s="650">
        <v>367</v>
      </c>
      <c r="K131" s="650">
        <v>552</v>
      </c>
    </row>
    <row r="132" spans="1:11" ht="20.100000000000001" customHeight="1">
      <c r="A132" s="927" t="s">
        <v>203</v>
      </c>
      <c r="B132" s="1264" t="s">
        <v>107</v>
      </c>
      <c r="C132" s="1273" t="s">
        <v>10</v>
      </c>
      <c r="D132" s="927" t="s">
        <v>202</v>
      </c>
      <c r="E132" s="927" t="s">
        <v>124</v>
      </c>
      <c r="F132" s="927" t="s">
        <v>123</v>
      </c>
      <c r="G132" s="652">
        <v>90</v>
      </c>
      <c r="H132" s="652">
        <v>136</v>
      </c>
      <c r="I132" s="652">
        <v>183</v>
      </c>
      <c r="J132" s="650">
        <v>362</v>
      </c>
      <c r="K132" s="650">
        <v>545</v>
      </c>
    </row>
    <row r="133" spans="1:11" ht="20.100000000000001" customHeight="1">
      <c r="A133" s="927" t="s">
        <v>204</v>
      </c>
      <c r="B133" s="1264" t="s">
        <v>107</v>
      </c>
      <c r="C133" s="1273" t="s">
        <v>10</v>
      </c>
      <c r="D133" s="927" t="s">
        <v>202</v>
      </c>
      <c r="E133" s="927" t="s">
        <v>124</v>
      </c>
      <c r="F133" s="927" t="s">
        <v>123</v>
      </c>
      <c r="G133" s="652">
        <v>90</v>
      </c>
      <c r="H133" s="652">
        <v>128</v>
      </c>
      <c r="I133" s="652">
        <v>183</v>
      </c>
      <c r="J133" s="650">
        <v>361</v>
      </c>
      <c r="K133" s="650">
        <v>544</v>
      </c>
    </row>
    <row r="134" spans="1:11" ht="20.100000000000001" customHeight="1">
      <c r="A134" s="927" t="s">
        <v>205</v>
      </c>
      <c r="B134" s="1264" t="s">
        <v>107</v>
      </c>
      <c r="C134" s="1273" t="s">
        <v>10</v>
      </c>
      <c r="D134" s="927" t="s">
        <v>202</v>
      </c>
      <c r="E134" s="927" t="s">
        <v>124</v>
      </c>
      <c r="F134" s="927" t="s">
        <v>123</v>
      </c>
      <c r="G134" s="652">
        <v>90</v>
      </c>
      <c r="H134" s="652">
        <v>179</v>
      </c>
      <c r="I134" s="652">
        <v>189</v>
      </c>
      <c r="J134" s="650">
        <v>342</v>
      </c>
      <c r="K134" s="650">
        <v>531</v>
      </c>
    </row>
    <row r="135" spans="1:11" ht="20.100000000000001" customHeight="1">
      <c r="A135" s="927" t="s">
        <v>206</v>
      </c>
      <c r="B135" s="1264" t="s">
        <v>107</v>
      </c>
      <c r="C135" s="1273" t="s">
        <v>10</v>
      </c>
      <c r="D135" s="927" t="s">
        <v>202</v>
      </c>
      <c r="E135" s="927" t="s">
        <v>124</v>
      </c>
      <c r="F135" s="927" t="s">
        <v>123</v>
      </c>
      <c r="G135" s="652">
        <v>90</v>
      </c>
      <c r="H135" s="652">
        <v>186</v>
      </c>
      <c r="I135" s="652">
        <v>184</v>
      </c>
      <c r="J135" s="650">
        <v>337</v>
      </c>
      <c r="K135" s="650">
        <v>521</v>
      </c>
    </row>
    <row r="136" spans="1:11" ht="20.100000000000001" customHeight="1">
      <c r="A136" s="927" t="s">
        <v>824</v>
      </c>
      <c r="B136" s="1264" t="s">
        <v>107</v>
      </c>
      <c r="C136" s="1273" t="s">
        <v>10</v>
      </c>
      <c r="D136" s="927" t="s">
        <v>824</v>
      </c>
      <c r="E136" s="927" t="s">
        <v>124</v>
      </c>
      <c r="F136" s="927" t="s">
        <v>123</v>
      </c>
      <c r="G136" s="652">
        <v>1980</v>
      </c>
      <c r="H136" s="652">
        <v>5178</v>
      </c>
      <c r="I136" s="652">
        <v>224</v>
      </c>
      <c r="J136" s="650">
        <v>309</v>
      </c>
      <c r="K136" s="650">
        <v>533</v>
      </c>
    </row>
    <row r="137" spans="1:11" ht="20.100000000000001" customHeight="1">
      <c r="A137" s="927" t="s">
        <v>825</v>
      </c>
      <c r="B137" s="1264" t="s">
        <v>107</v>
      </c>
      <c r="C137" s="1273" t="s">
        <v>10</v>
      </c>
      <c r="D137" s="927" t="s">
        <v>825</v>
      </c>
      <c r="E137" s="927" t="s">
        <v>124</v>
      </c>
      <c r="F137" s="927" t="s">
        <v>123</v>
      </c>
      <c r="G137" s="652">
        <v>1980</v>
      </c>
      <c r="H137" s="652">
        <v>7208</v>
      </c>
      <c r="I137" s="652">
        <v>145</v>
      </c>
      <c r="J137" s="650">
        <v>233</v>
      </c>
      <c r="K137" s="650">
        <v>378</v>
      </c>
    </row>
    <row r="138" spans="1:11" ht="20.100000000000001" customHeight="1">
      <c r="A138" s="927" t="s">
        <v>208</v>
      </c>
      <c r="B138" s="1264" t="s">
        <v>207</v>
      </c>
      <c r="C138" s="1273" t="s">
        <v>8</v>
      </c>
      <c r="D138" s="927" t="s">
        <v>209</v>
      </c>
      <c r="E138" s="927" t="s">
        <v>108</v>
      </c>
      <c r="F138" s="927" t="s">
        <v>210</v>
      </c>
      <c r="G138" s="652">
        <v>1000</v>
      </c>
      <c r="H138" s="652">
        <v>1266.33</v>
      </c>
      <c r="I138" s="652">
        <v>227.79</v>
      </c>
      <c r="J138" s="650">
        <v>185.7</v>
      </c>
      <c r="K138" s="650">
        <v>413.49</v>
      </c>
    </row>
    <row r="139" spans="1:11" ht="20.100000000000001" customHeight="1">
      <c r="A139" s="927" t="s">
        <v>1413</v>
      </c>
      <c r="B139" s="1264" t="s">
        <v>207</v>
      </c>
      <c r="C139" s="1273" t="s">
        <v>8</v>
      </c>
      <c r="D139" s="927" t="s">
        <v>209</v>
      </c>
      <c r="E139" s="927" t="s">
        <v>108</v>
      </c>
      <c r="F139" s="927" t="s">
        <v>210</v>
      </c>
      <c r="G139" s="652">
        <v>520</v>
      </c>
      <c r="H139" s="652">
        <v>609.98</v>
      </c>
      <c r="I139" s="652">
        <v>351.95</v>
      </c>
      <c r="J139" s="650">
        <v>297.89999999999998</v>
      </c>
      <c r="K139" s="650">
        <v>649.84999999999991</v>
      </c>
    </row>
    <row r="140" spans="1:11" ht="20.100000000000001" customHeight="1">
      <c r="A140" s="927" t="s">
        <v>1117</v>
      </c>
      <c r="B140" s="1264" t="s">
        <v>207</v>
      </c>
      <c r="C140" s="1273" t="s">
        <v>8</v>
      </c>
      <c r="D140" s="927" t="s">
        <v>119</v>
      </c>
      <c r="E140" s="927" t="s">
        <v>158</v>
      </c>
      <c r="F140" s="927" t="s">
        <v>220</v>
      </c>
      <c r="G140" s="652">
        <v>1320</v>
      </c>
      <c r="H140" s="652">
        <v>1616</v>
      </c>
      <c r="I140" s="652">
        <v>174</v>
      </c>
      <c r="J140" s="650">
        <v>389</v>
      </c>
      <c r="K140" s="650">
        <v>563</v>
      </c>
    </row>
    <row r="141" spans="1:11" ht="20.100000000000001" customHeight="1">
      <c r="A141" s="927" t="s">
        <v>212</v>
      </c>
      <c r="B141" s="1264" t="s">
        <v>207</v>
      </c>
      <c r="C141" s="1273" t="s">
        <v>8</v>
      </c>
      <c r="D141" s="927" t="s">
        <v>119</v>
      </c>
      <c r="E141" s="927" t="s">
        <v>120</v>
      </c>
      <c r="F141" s="927" t="s">
        <v>211</v>
      </c>
      <c r="G141" s="652">
        <v>656.2</v>
      </c>
      <c r="H141" s="652">
        <v>2317</v>
      </c>
      <c r="I141" s="652">
        <v>85</v>
      </c>
      <c r="J141" s="650">
        <v>285</v>
      </c>
      <c r="K141" s="650">
        <v>370</v>
      </c>
    </row>
    <row r="142" spans="1:11" ht="20.100000000000001" customHeight="1">
      <c r="A142" s="927" t="s">
        <v>538</v>
      </c>
      <c r="B142" s="1264" t="s">
        <v>207</v>
      </c>
      <c r="C142" s="927" t="s">
        <v>8</v>
      </c>
      <c r="D142" s="927" t="s">
        <v>119</v>
      </c>
      <c r="E142" s="927" t="s">
        <v>124</v>
      </c>
      <c r="F142" s="927" t="s">
        <v>213</v>
      </c>
      <c r="G142" s="652">
        <v>2100</v>
      </c>
      <c r="H142" s="652">
        <v>14885</v>
      </c>
      <c r="I142" s="652">
        <v>69</v>
      </c>
      <c r="J142" s="650">
        <v>128</v>
      </c>
      <c r="K142" s="650">
        <v>197</v>
      </c>
    </row>
    <row r="143" spans="1:11" ht="20.100000000000001" customHeight="1">
      <c r="A143" s="927" t="s">
        <v>539</v>
      </c>
      <c r="B143" s="1264" t="s">
        <v>207</v>
      </c>
      <c r="C143" s="927" t="s">
        <v>8</v>
      </c>
      <c r="D143" s="927" t="s">
        <v>119</v>
      </c>
      <c r="E143" s="930" t="s">
        <v>124</v>
      </c>
      <c r="F143" s="927" t="s">
        <v>213</v>
      </c>
      <c r="G143" s="652">
        <v>500</v>
      </c>
      <c r="H143" s="652">
        <v>3806</v>
      </c>
      <c r="I143" s="652">
        <v>140</v>
      </c>
      <c r="J143" s="650">
        <v>126</v>
      </c>
      <c r="K143" s="650">
        <v>266</v>
      </c>
    </row>
    <row r="144" spans="1:11" ht="20.100000000000001" customHeight="1">
      <c r="A144" s="927" t="s">
        <v>214</v>
      </c>
      <c r="B144" s="1264" t="s">
        <v>207</v>
      </c>
      <c r="C144" s="927" t="s">
        <v>8</v>
      </c>
      <c r="D144" s="927" t="s">
        <v>119</v>
      </c>
      <c r="E144" s="930" t="s">
        <v>124</v>
      </c>
      <c r="F144" s="927" t="s">
        <v>213</v>
      </c>
      <c r="G144" s="652">
        <v>1980</v>
      </c>
      <c r="H144" s="652">
        <v>15037</v>
      </c>
      <c r="I144" s="652">
        <v>132</v>
      </c>
      <c r="J144" s="650">
        <v>121</v>
      </c>
      <c r="K144" s="650">
        <v>253</v>
      </c>
    </row>
    <row r="145" spans="1:11" ht="20.100000000000001" customHeight="1">
      <c r="A145" s="927" t="s">
        <v>215</v>
      </c>
      <c r="B145" s="1264" t="s">
        <v>207</v>
      </c>
      <c r="C145" s="927" t="s">
        <v>8</v>
      </c>
      <c r="D145" s="927" t="s">
        <v>119</v>
      </c>
      <c r="E145" s="927" t="s">
        <v>124</v>
      </c>
      <c r="F145" s="927" t="s">
        <v>213</v>
      </c>
      <c r="G145" s="652">
        <v>1000</v>
      </c>
      <c r="H145" s="652">
        <v>7499</v>
      </c>
      <c r="I145" s="652">
        <v>125</v>
      </c>
      <c r="J145" s="650">
        <v>125</v>
      </c>
      <c r="K145" s="650">
        <v>250</v>
      </c>
    </row>
    <row r="146" spans="1:11" ht="20.100000000000001" customHeight="1">
      <c r="A146" s="927" t="s">
        <v>216</v>
      </c>
      <c r="B146" s="1264" t="s">
        <v>207</v>
      </c>
      <c r="C146" s="927" t="s">
        <v>8</v>
      </c>
      <c r="D146" s="927" t="s">
        <v>119</v>
      </c>
      <c r="E146" s="1267" t="s">
        <v>124</v>
      </c>
      <c r="F146" s="927" t="s">
        <v>210</v>
      </c>
      <c r="G146" s="652">
        <v>1260</v>
      </c>
      <c r="H146" s="652">
        <v>8661</v>
      </c>
      <c r="I146" s="652">
        <v>86</v>
      </c>
      <c r="J146" s="650">
        <v>160</v>
      </c>
      <c r="K146" s="650">
        <v>246</v>
      </c>
    </row>
    <row r="147" spans="1:11" ht="20.100000000000001" customHeight="1">
      <c r="A147" s="927" t="s">
        <v>217</v>
      </c>
      <c r="B147" s="1264" t="s">
        <v>207</v>
      </c>
      <c r="C147" s="927" t="s">
        <v>8</v>
      </c>
      <c r="D147" s="927" t="s">
        <v>119</v>
      </c>
      <c r="E147" s="927" t="s">
        <v>124</v>
      </c>
      <c r="F147" s="927" t="s">
        <v>210</v>
      </c>
      <c r="G147" s="652">
        <v>1000</v>
      </c>
      <c r="H147" s="652">
        <v>7343</v>
      </c>
      <c r="I147" s="652">
        <v>70</v>
      </c>
      <c r="J147" s="650">
        <v>150</v>
      </c>
      <c r="K147" s="650">
        <v>220</v>
      </c>
    </row>
    <row r="148" spans="1:11" ht="20.100000000000001" customHeight="1">
      <c r="A148" s="927" t="s">
        <v>218</v>
      </c>
      <c r="B148" s="1264" t="s">
        <v>207</v>
      </c>
      <c r="C148" s="927" t="s">
        <v>8</v>
      </c>
      <c r="D148" s="927" t="s">
        <v>119</v>
      </c>
      <c r="E148" s="927" t="s">
        <v>124</v>
      </c>
      <c r="F148" s="927" t="s">
        <v>210</v>
      </c>
      <c r="G148" s="652">
        <v>1000</v>
      </c>
      <c r="H148" s="652">
        <v>7576</v>
      </c>
      <c r="I148" s="652">
        <v>105</v>
      </c>
      <c r="J148" s="650">
        <v>149</v>
      </c>
      <c r="K148" s="650">
        <v>254</v>
      </c>
    </row>
    <row r="149" spans="1:11" ht="20.100000000000001" customHeight="1">
      <c r="A149" s="927" t="s">
        <v>219</v>
      </c>
      <c r="B149" s="1264" t="s">
        <v>207</v>
      </c>
      <c r="C149" s="927" t="s">
        <v>8</v>
      </c>
      <c r="D149" s="927" t="s">
        <v>119</v>
      </c>
      <c r="E149" s="927" t="s">
        <v>124</v>
      </c>
      <c r="F149" s="927" t="s">
        <v>210</v>
      </c>
      <c r="G149" s="652">
        <v>1000</v>
      </c>
      <c r="H149" s="652">
        <v>7689</v>
      </c>
      <c r="I149" s="652">
        <v>158</v>
      </c>
      <c r="J149" s="650">
        <v>150</v>
      </c>
      <c r="K149" s="650">
        <v>308</v>
      </c>
    </row>
    <row r="150" spans="1:11" ht="20.100000000000001" customHeight="1">
      <c r="A150" s="927" t="s">
        <v>657</v>
      </c>
      <c r="B150" s="1264" t="s">
        <v>207</v>
      </c>
      <c r="C150" s="927" t="s">
        <v>8</v>
      </c>
      <c r="D150" s="927" t="s">
        <v>119</v>
      </c>
      <c r="E150" s="927" t="s">
        <v>124</v>
      </c>
      <c r="F150" s="927" t="s">
        <v>210</v>
      </c>
      <c r="G150" s="652">
        <v>500</v>
      </c>
      <c r="H150" s="652">
        <v>3621</v>
      </c>
      <c r="I150" s="652">
        <v>169</v>
      </c>
      <c r="J150" s="650">
        <v>151</v>
      </c>
      <c r="K150" s="650">
        <v>320</v>
      </c>
    </row>
    <row r="151" spans="1:11" ht="20.100000000000001" customHeight="1">
      <c r="A151" s="1267" t="s">
        <v>1118</v>
      </c>
      <c r="B151" s="1264" t="s">
        <v>207</v>
      </c>
      <c r="C151" s="1267" t="s">
        <v>8</v>
      </c>
      <c r="D151" s="1267" t="s">
        <v>119</v>
      </c>
      <c r="E151" s="1267" t="s">
        <v>124</v>
      </c>
      <c r="F151" s="1267" t="s">
        <v>220</v>
      </c>
      <c r="G151" s="1269">
        <v>1000</v>
      </c>
      <c r="H151" s="1269">
        <v>4949</v>
      </c>
      <c r="I151" s="1269">
        <v>189</v>
      </c>
      <c r="J151" s="650">
        <v>299</v>
      </c>
      <c r="K151" s="650">
        <v>488</v>
      </c>
    </row>
    <row r="152" spans="1:11" ht="20.100000000000001" customHeight="1">
      <c r="A152" s="1267" t="s">
        <v>1119</v>
      </c>
      <c r="B152" s="1264" t="s">
        <v>207</v>
      </c>
      <c r="C152" s="1267" t="s">
        <v>8</v>
      </c>
      <c r="D152" s="1267" t="s">
        <v>119</v>
      </c>
      <c r="E152" s="1267" t="s">
        <v>124</v>
      </c>
      <c r="F152" s="1267" t="s">
        <v>220</v>
      </c>
      <c r="G152" s="1269">
        <v>1320</v>
      </c>
      <c r="H152" s="1269">
        <v>6233</v>
      </c>
      <c r="I152" s="1274">
        <v>150</v>
      </c>
      <c r="J152" s="650">
        <v>287</v>
      </c>
      <c r="K152" s="650">
        <v>437</v>
      </c>
    </row>
    <row r="153" spans="1:11" ht="29.25" customHeight="1">
      <c r="A153" s="927" t="s">
        <v>658</v>
      </c>
      <c r="B153" s="1264" t="s">
        <v>207</v>
      </c>
      <c r="C153" s="927" t="s">
        <v>8</v>
      </c>
      <c r="D153" s="927" t="s">
        <v>659</v>
      </c>
      <c r="E153" s="927" t="s">
        <v>120</v>
      </c>
      <c r="F153" s="927" t="s">
        <v>220</v>
      </c>
      <c r="G153" s="652">
        <v>1967.08</v>
      </c>
      <c r="H153" s="652">
        <v>4327</v>
      </c>
      <c r="I153" s="652">
        <v>0</v>
      </c>
      <c r="J153" s="650">
        <v>0</v>
      </c>
      <c r="K153" s="650">
        <v>550</v>
      </c>
    </row>
    <row r="154" spans="1:11" ht="20.100000000000001" customHeight="1">
      <c r="A154" s="927" t="s">
        <v>221</v>
      </c>
      <c r="B154" s="1264" t="s">
        <v>207</v>
      </c>
      <c r="C154" s="927" t="s">
        <v>8</v>
      </c>
      <c r="D154" s="927" t="s">
        <v>222</v>
      </c>
      <c r="E154" s="927" t="s">
        <v>134</v>
      </c>
      <c r="F154" s="927" t="s">
        <v>211</v>
      </c>
      <c r="G154" s="652">
        <v>440</v>
      </c>
      <c r="H154" s="652">
        <v>881</v>
      </c>
      <c r="I154" s="652">
        <v>0</v>
      </c>
      <c r="J154" s="650">
        <v>0</v>
      </c>
      <c r="K154" s="650">
        <v>241</v>
      </c>
    </row>
    <row r="155" spans="1:11" ht="20.100000000000001" customHeight="1">
      <c r="A155" s="927" t="s">
        <v>1414</v>
      </c>
      <c r="B155" s="1264" t="s">
        <v>207</v>
      </c>
      <c r="C155" s="927" t="s">
        <v>8</v>
      </c>
      <c r="D155" s="927" t="s">
        <v>222</v>
      </c>
      <c r="E155" s="927" t="s">
        <v>134</v>
      </c>
      <c r="F155" s="927" t="s">
        <v>220</v>
      </c>
      <c r="G155" s="652">
        <v>1400</v>
      </c>
      <c r="H155" s="652">
        <v>9846</v>
      </c>
      <c r="I155" s="652">
        <v>0</v>
      </c>
      <c r="J155" s="650">
        <v>0</v>
      </c>
      <c r="K155" s="650">
        <v>278</v>
      </c>
    </row>
    <row r="156" spans="1:11" ht="20.100000000000001" customHeight="1">
      <c r="A156" s="927" t="s">
        <v>1415</v>
      </c>
      <c r="B156" s="1264" t="s">
        <v>107</v>
      </c>
      <c r="C156" s="927" t="s">
        <v>10</v>
      </c>
      <c r="D156" s="927" t="s">
        <v>1412</v>
      </c>
      <c r="E156" s="927" t="s">
        <v>158</v>
      </c>
      <c r="F156" s="927" t="s">
        <v>172</v>
      </c>
      <c r="G156" s="652">
        <v>540</v>
      </c>
      <c r="H156" s="652">
        <v>2203.2399999999998</v>
      </c>
      <c r="I156" s="652">
        <v>537.74</v>
      </c>
      <c r="J156" s="650">
        <v>352.71</v>
      </c>
      <c r="K156" s="650">
        <v>890.45</v>
      </c>
    </row>
    <row r="157" spans="1:11" ht="36.75" customHeight="1">
      <c r="A157" s="927" t="s">
        <v>1106</v>
      </c>
      <c r="B157" s="1264" t="s">
        <v>107</v>
      </c>
      <c r="C157" s="927" t="s">
        <v>474</v>
      </c>
      <c r="D157" s="927" t="s">
        <v>1105</v>
      </c>
      <c r="E157" s="927" t="s">
        <v>124</v>
      </c>
      <c r="F157" s="927" t="s">
        <v>172</v>
      </c>
      <c r="G157" s="652">
        <v>1260</v>
      </c>
      <c r="H157" s="652">
        <v>1572.82</v>
      </c>
      <c r="I157" s="652">
        <v>0</v>
      </c>
      <c r="J157" s="650">
        <v>0</v>
      </c>
      <c r="K157" s="650">
        <v>579</v>
      </c>
    </row>
    <row r="158" spans="1:11" ht="36.75" customHeight="1">
      <c r="A158" s="927" t="s">
        <v>1107</v>
      </c>
      <c r="B158" s="1264" t="s">
        <v>107</v>
      </c>
      <c r="C158" s="927" t="s">
        <v>474</v>
      </c>
      <c r="D158" s="927" t="s">
        <v>1105</v>
      </c>
      <c r="E158" s="927" t="s">
        <v>124</v>
      </c>
      <c r="F158" s="927" t="s">
        <v>172</v>
      </c>
      <c r="G158" s="652">
        <v>920</v>
      </c>
      <c r="H158" s="652">
        <v>2245.11</v>
      </c>
      <c r="I158" s="652">
        <v>0</v>
      </c>
      <c r="J158" s="650">
        <v>0</v>
      </c>
      <c r="K158" s="650">
        <v>480</v>
      </c>
    </row>
    <row r="159" spans="1:11" ht="36.75" customHeight="1">
      <c r="A159" s="927" t="s">
        <v>1108</v>
      </c>
      <c r="B159" s="1264" t="s">
        <v>107</v>
      </c>
      <c r="C159" s="927" t="s">
        <v>474</v>
      </c>
      <c r="D159" s="927" t="s">
        <v>1105</v>
      </c>
      <c r="E159" s="927" t="s">
        <v>108</v>
      </c>
      <c r="F159" s="927" t="s">
        <v>172</v>
      </c>
      <c r="G159" s="652">
        <v>110</v>
      </c>
      <c r="H159" s="652">
        <v>465.69</v>
      </c>
      <c r="I159" s="652">
        <v>0</v>
      </c>
      <c r="J159" s="650">
        <v>0</v>
      </c>
      <c r="K159" s="650">
        <v>77</v>
      </c>
    </row>
    <row r="160" spans="1:11" ht="36.75" customHeight="1">
      <c r="A160" s="1267" t="s">
        <v>1109</v>
      </c>
      <c r="B160" s="1264" t="s">
        <v>107</v>
      </c>
      <c r="C160" s="927" t="s">
        <v>474</v>
      </c>
      <c r="D160" s="1267" t="s">
        <v>1105</v>
      </c>
      <c r="E160" s="1267" t="s">
        <v>108</v>
      </c>
      <c r="F160" s="932" t="s">
        <v>172</v>
      </c>
      <c r="G160" s="1269">
        <v>91.35</v>
      </c>
      <c r="H160" s="1269">
        <v>373.41</v>
      </c>
      <c r="I160" s="1269">
        <v>0</v>
      </c>
      <c r="J160" s="650">
        <v>0</v>
      </c>
      <c r="K160" s="650">
        <v>111</v>
      </c>
    </row>
    <row r="161" spans="1:11" ht="20.100000000000001" customHeight="1">
      <c r="A161" s="927" t="s">
        <v>1110</v>
      </c>
      <c r="B161" s="1264" t="s">
        <v>107</v>
      </c>
      <c r="C161" s="927" t="s">
        <v>474</v>
      </c>
      <c r="D161" s="927" t="s">
        <v>1105</v>
      </c>
      <c r="E161" s="1267" t="s">
        <v>108</v>
      </c>
      <c r="F161" s="927" t="s">
        <v>172</v>
      </c>
      <c r="G161" s="652">
        <v>134</v>
      </c>
      <c r="H161" s="652">
        <v>426.53</v>
      </c>
      <c r="I161" s="652">
        <v>0</v>
      </c>
      <c r="J161" s="650">
        <v>0</v>
      </c>
      <c r="K161" s="650">
        <v>49</v>
      </c>
    </row>
    <row r="162" spans="1:11" ht="27.75" customHeight="1">
      <c r="A162" s="927" t="s">
        <v>1111</v>
      </c>
      <c r="B162" s="1273" t="s">
        <v>107</v>
      </c>
      <c r="C162" s="927" t="s">
        <v>474</v>
      </c>
      <c r="D162" s="927" t="s">
        <v>1105</v>
      </c>
      <c r="E162" s="927" t="s">
        <v>108</v>
      </c>
      <c r="F162" s="927" t="s">
        <v>172</v>
      </c>
      <c r="G162" s="652">
        <v>207</v>
      </c>
      <c r="H162" s="652">
        <v>1228.1600000000001</v>
      </c>
      <c r="I162" s="652">
        <v>0</v>
      </c>
      <c r="J162" s="650">
        <v>0</v>
      </c>
      <c r="K162" s="650">
        <v>38.729999999999997</v>
      </c>
    </row>
    <row r="163" spans="1:11" ht="24.75" customHeight="1">
      <c r="A163" s="927" t="s">
        <v>1416</v>
      </c>
      <c r="B163" s="1273" t="s">
        <v>107</v>
      </c>
      <c r="C163" s="1273" t="s">
        <v>474</v>
      </c>
      <c r="D163" s="927" t="s">
        <v>1105</v>
      </c>
      <c r="E163" s="927" t="s">
        <v>108</v>
      </c>
      <c r="F163" s="927" t="s">
        <v>172</v>
      </c>
      <c r="G163" s="652">
        <v>600</v>
      </c>
      <c r="H163" s="652">
        <v>1449.68</v>
      </c>
      <c r="I163" s="652">
        <v>0</v>
      </c>
      <c r="J163" s="650">
        <v>0</v>
      </c>
      <c r="K163" s="650">
        <v>155</v>
      </c>
    </row>
    <row r="164" spans="1:11" ht="27.75" customHeight="1">
      <c r="A164" s="927" t="s">
        <v>1417</v>
      </c>
      <c r="B164" s="1273" t="s">
        <v>107</v>
      </c>
      <c r="C164" s="927" t="s">
        <v>474</v>
      </c>
      <c r="D164" s="927" t="s">
        <v>1105</v>
      </c>
      <c r="E164" s="927" t="s">
        <v>108</v>
      </c>
      <c r="F164" s="927" t="s">
        <v>172</v>
      </c>
      <c r="G164" s="652">
        <v>3.9</v>
      </c>
      <c r="H164" s="652">
        <v>6.23</v>
      </c>
      <c r="I164" s="652">
        <v>0</v>
      </c>
      <c r="J164" s="650">
        <v>0</v>
      </c>
      <c r="K164" s="650">
        <v>23</v>
      </c>
    </row>
    <row r="165" spans="1:11" ht="29.25" customHeight="1">
      <c r="A165" s="927" t="s">
        <v>1418</v>
      </c>
      <c r="B165" s="1273" t="s">
        <v>107</v>
      </c>
      <c r="C165" s="927" t="s">
        <v>474</v>
      </c>
      <c r="D165" s="927" t="s">
        <v>454</v>
      </c>
      <c r="E165" s="927" t="s">
        <v>124</v>
      </c>
      <c r="F165" s="927" t="s">
        <v>173</v>
      </c>
      <c r="G165" s="652">
        <v>1240</v>
      </c>
      <c r="H165" s="652">
        <v>7048.46</v>
      </c>
      <c r="I165" s="652">
        <v>58</v>
      </c>
      <c r="J165" s="650">
        <v>292</v>
      </c>
      <c r="K165" s="650">
        <v>350</v>
      </c>
    </row>
    <row r="166" spans="1:11" ht="20.100000000000001" customHeight="1">
      <c r="A166" s="927" t="s">
        <v>655</v>
      </c>
      <c r="B166" s="1273" t="s">
        <v>107</v>
      </c>
      <c r="C166" s="927" t="s">
        <v>474</v>
      </c>
      <c r="D166" s="927" t="s">
        <v>454</v>
      </c>
      <c r="E166" s="650" t="s">
        <v>124</v>
      </c>
      <c r="F166" s="927" t="s">
        <v>173</v>
      </c>
      <c r="G166" s="652">
        <v>1500</v>
      </c>
      <c r="H166" s="652">
        <v>6464.86</v>
      </c>
      <c r="I166" s="652">
        <v>84</v>
      </c>
      <c r="J166" s="650">
        <v>346</v>
      </c>
      <c r="K166" s="650">
        <v>430</v>
      </c>
    </row>
    <row r="167" spans="1:11" ht="20.100000000000001" customHeight="1">
      <c r="A167" s="927" t="s">
        <v>1419</v>
      </c>
      <c r="B167" s="1273" t="s">
        <v>107</v>
      </c>
      <c r="C167" s="927" t="s">
        <v>474</v>
      </c>
      <c r="D167" s="927" t="s">
        <v>454</v>
      </c>
      <c r="E167" s="650" t="s">
        <v>124</v>
      </c>
      <c r="F167" s="927" t="s">
        <v>173</v>
      </c>
      <c r="G167" s="652">
        <v>1000</v>
      </c>
      <c r="H167" s="652">
        <v>6597.88</v>
      </c>
      <c r="I167" s="652">
        <v>155</v>
      </c>
      <c r="J167" s="650">
        <v>239</v>
      </c>
      <c r="K167" s="650">
        <v>394</v>
      </c>
    </row>
    <row r="168" spans="1:11" ht="36" customHeight="1">
      <c r="A168" s="927" t="s">
        <v>1420</v>
      </c>
      <c r="B168" s="1273" t="s">
        <v>107</v>
      </c>
      <c r="C168" s="927" t="s">
        <v>474</v>
      </c>
      <c r="D168" s="927" t="s">
        <v>454</v>
      </c>
      <c r="E168" s="650" t="s">
        <v>120</v>
      </c>
      <c r="F168" s="927" t="s">
        <v>173</v>
      </c>
      <c r="G168" s="652">
        <v>270.5</v>
      </c>
      <c r="H168" s="652">
        <v>955.59</v>
      </c>
      <c r="I168" s="652">
        <v>112</v>
      </c>
      <c r="J168" s="650">
        <v>290</v>
      </c>
      <c r="K168" s="650">
        <v>402</v>
      </c>
    </row>
    <row r="169" spans="1:11" ht="20.100000000000001" customHeight="1">
      <c r="A169" s="927" t="s">
        <v>1421</v>
      </c>
      <c r="B169" s="1273" t="s">
        <v>107</v>
      </c>
      <c r="C169" s="927" t="s">
        <v>474</v>
      </c>
      <c r="D169" s="927" t="s">
        <v>454</v>
      </c>
      <c r="E169" s="927" t="s">
        <v>124</v>
      </c>
      <c r="F169" s="927" t="s">
        <v>173</v>
      </c>
      <c r="G169" s="652">
        <v>660</v>
      </c>
      <c r="H169" s="652">
        <v>2532.25</v>
      </c>
      <c r="I169" s="652">
        <v>199</v>
      </c>
      <c r="J169" s="650">
        <v>210</v>
      </c>
      <c r="K169" s="650">
        <v>409</v>
      </c>
    </row>
    <row r="170" spans="1:11" ht="20.100000000000001" customHeight="1">
      <c r="A170" s="927" t="s">
        <v>1422</v>
      </c>
      <c r="B170" s="1273" t="s">
        <v>107</v>
      </c>
      <c r="C170" s="927" t="s">
        <v>474</v>
      </c>
      <c r="D170" s="927" t="s">
        <v>454</v>
      </c>
      <c r="E170" s="927" t="s">
        <v>120</v>
      </c>
      <c r="F170" s="927" t="s">
        <v>173</v>
      </c>
      <c r="G170" s="652">
        <v>330</v>
      </c>
      <c r="H170" s="652">
        <v>2.0299999999999998</v>
      </c>
      <c r="I170" s="652">
        <v>90</v>
      </c>
      <c r="J170" s="650">
        <v>673</v>
      </c>
      <c r="K170" s="650">
        <v>763</v>
      </c>
    </row>
    <row r="171" spans="1:11" ht="30" customHeight="1">
      <c r="A171" s="927" t="s">
        <v>174</v>
      </c>
      <c r="B171" s="1273" t="s">
        <v>107</v>
      </c>
      <c r="C171" s="927" t="s">
        <v>474</v>
      </c>
      <c r="D171" s="927" t="s">
        <v>454</v>
      </c>
      <c r="E171" s="927" t="s">
        <v>108</v>
      </c>
      <c r="F171" s="927" t="s">
        <v>173</v>
      </c>
      <c r="G171" s="652">
        <v>140</v>
      </c>
      <c r="H171" s="652">
        <v>115.89</v>
      </c>
      <c r="I171" s="652">
        <v>426</v>
      </c>
      <c r="J171" s="650">
        <v>0</v>
      </c>
      <c r="K171" s="650">
        <v>426</v>
      </c>
    </row>
    <row r="172" spans="1:11" ht="29.25" customHeight="1">
      <c r="A172" s="927" t="s">
        <v>656</v>
      </c>
      <c r="B172" s="1273" t="s">
        <v>107</v>
      </c>
      <c r="C172" s="927" t="s">
        <v>474</v>
      </c>
      <c r="D172" s="927" t="s">
        <v>454</v>
      </c>
      <c r="E172" s="927" t="s">
        <v>108</v>
      </c>
      <c r="F172" s="927" t="s">
        <v>173</v>
      </c>
      <c r="G172" s="652">
        <v>23.85</v>
      </c>
      <c r="H172" s="652">
        <v>4.57</v>
      </c>
      <c r="I172" s="652">
        <v>378</v>
      </c>
      <c r="J172" s="650">
        <v>0</v>
      </c>
      <c r="K172" s="650">
        <v>378</v>
      </c>
    </row>
    <row r="173" spans="1:11" ht="20.100000000000001" customHeight="1">
      <c r="A173" s="927" t="s">
        <v>1423</v>
      </c>
      <c r="B173" s="1273" t="s">
        <v>107</v>
      </c>
      <c r="C173" s="927" t="s">
        <v>474</v>
      </c>
      <c r="D173" s="927" t="s">
        <v>454</v>
      </c>
      <c r="E173" s="927" t="s">
        <v>124</v>
      </c>
      <c r="F173" s="927" t="s">
        <v>173</v>
      </c>
      <c r="G173" s="652">
        <v>1200</v>
      </c>
      <c r="H173" s="652">
        <v>5205.4799999999996</v>
      </c>
      <c r="I173" s="652">
        <v>189</v>
      </c>
      <c r="J173" s="650">
        <v>274</v>
      </c>
      <c r="K173" s="650">
        <v>463</v>
      </c>
    </row>
    <row r="174" spans="1:11" ht="20.100000000000001" customHeight="1">
      <c r="A174" s="927" t="s">
        <v>533</v>
      </c>
      <c r="B174" s="1273" t="s">
        <v>107</v>
      </c>
      <c r="C174" s="927" t="s">
        <v>474</v>
      </c>
      <c r="D174" s="927" t="s">
        <v>175</v>
      </c>
      <c r="E174" s="927" t="s">
        <v>108</v>
      </c>
      <c r="F174" s="927" t="s">
        <v>123</v>
      </c>
      <c r="G174" s="652">
        <v>72</v>
      </c>
      <c r="H174" s="652">
        <v>280.73</v>
      </c>
      <c r="I174" s="652">
        <v>75</v>
      </c>
      <c r="J174" s="650">
        <v>0</v>
      </c>
      <c r="K174" s="650">
        <v>75</v>
      </c>
    </row>
    <row r="175" spans="1:11" ht="20.100000000000001" customHeight="1">
      <c r="A175" s="927" t="s">
        <v>534</v>
      </c>
      <c r="B175" s="1273" t="s">
        <v>107</v>
      </c>
      <c r="C175" s="927" t="s">
        <v>474</v>
      </c>
      <c r="D175" s="927" t="s">
        <v>175</v>
      </c>
      <c r="E175" s="927" t="s">
        <v>108</v>
      </c>
      <c r="F175" s="927" t="s">
        <v>123</v>
      </c>
      <c r="G175" s="652">
        <v>30.6</v>
      </c>
      <c r="H175" s="652">
        <v>95.72</v>
      </c>
      <c r="I175" s="652">
        <v>65</v>
      </c>
      <c r="J175" s="650">
        <v>0</v>
      </c>
      <c r="K175" s="650">
        <v>65</v>
      </c>
    </row>
    <row r="176" spans="1:11" ht="20.100000000000001" customHeight="1">
      <c r="A176" s="927" t="s">
        <v>535</v>
      </c>
      <c r="B176" s="1273" t="s">
        <v>107</v>
      </c>
      <c r="C176" s="927" t="s">
        <v>474</v>
      </c>
      <c r="D176" s="927" t="s">
        <v>175</v>
      </c>
      <c r="E176" s="927" t="s">
        <v>108</v>
      </c>
      <c r="F176" s="927" t="s">
        <v>123</v>
      </c>
      <c r="G176" s="652">
        <v>99</v>
      </c>
      <c r="H176" s="652">
        <v>225.48</v>
      </c>
      <c r="I176" s="652">
        <v>83</v>
      </c>
      <c r="J176" s="650">
        <v>0</v>
      </c>
      <c r="K176" s="650">
        <v>83</v>
      </c>
    </row>
    <row r="177" spans="1:11" ht="20.100000000000001" customHeight="1">
      <c r="A177" s="927" t="s">
        <v>584</v>
      </c>
      <c r="B177" s="1273" t="s">
        <v>107</v>
      </c>
      <c r="C177" s="927" t="s">
        <v>474</v>
      </c>
      <c r="D177" s="927" t="s">
        <v>175</v>
      </c>
      <c r="E177" s="927" t="s">
        <v>108</v>
      </c>
      <c r="F177" s="927" t="s">
        <v>123</v>
      </c>
      <c r="G177" s="652">
        <v>300</v>
      </c>
      <c r="H177" s="652">
        <v>538.28</v>
      </c>
      <c r="I177" s="652">
        <v>55</v>
      </c>
      <c r="J177" s="650">
        <v>0</v>
      </c>
      <c r="K177" s="650">
        <v>55</v>
      </c>
    </row>
    <row r="178" spans="1:11" ht="25.5" customHeight="1">
      <c r="A178" s="927" t="s">
        <v>1424</v>
      </c>
      <c r="B178" s="1273" t="s">
        <v>107</v>
      </c>
      <c r="C178" s="927" t="s">
        <v>474</v>
      </c>
      <c r="D178" s="927" t="s">
        <v>175</v>
      </c>
      <c r="E178" s="927" t="s">
        <v>108</v>
      </c>
      <c r="F178" s="927" t="s">
        <v>123</v>
      </c>
      <c r="G178" s="652">
        <v>13.7</v>
      </c>
      <c r="H178" s="652">
        <v>10.039999999999999</v>
      </c>
      <c r="I178" s="652">
        <v>283</v>
      </c>
      <c r="J178" s="650">
        <v>0</v>
      </c>
      <c r="K178" s="650">
        <v>283</v>
      </c>
    </row>
    <row r="179" spans="1:11" ht="20.100000000000001" customHeight="1">
      <c r="A179" s="927" t="s">
        <v>1112</v>
      </c>
      <c r="B179" s="1273" t="s">
        <v>107</v>
      </c>
      <c r="C179" s="927" t="s">
        <v>474</v>
      </c>
      <c r="D179" s="927" t="s">
        <v>175</v>
      </c>
      <c r="E179" s="927" t="s">
        <v>108</v>
      </c>
      <c r="F179" s="927" t="s">
        <v>123</v>
      </c>
      <c r="G179" s="652">
        <v>3.6</v>
      </c>
      <c r="H179" s="652">
        <v>1.34</v>
      </c>
      <c r="I179" s="652">
        <v>154</v>
      </c>
      <c r="J179" s="650">
        <v>0</v>
      </c>
      <c r="K179" s="650">
        <v>154</v>
      </c>
    </row>
    <row r="180" spans="1:11" ht="20.100000000000001" customHeight="1">
      <c r="A180" s="927" t="s">
        <v>176</v>
      </c>
      <c r="B180" s="1273" t="s">
        <v>107</v>
      </c>
      <c r="C180" s="927" t="s">
        <v>474</v>
      </c>
      <c r="D180" s="927" t="s">
        <v>177</v>
      </c>
      <c r="E180" s="650" t="s">
        <v>124</v>
      </c>
      <c r="F180" s="927" t="s">
        <v>123</v>
      </c>
      <c r="G180" s="652">
        <v>630</v>
      </c>
      <c r="H180" s="652">
        <v>3945.1790000000001</v>
      </c>
      <c r="I180" s="652">
        <v>77.81</v>
      </c>
      <c r="J180" s="650">
        <v>174.32</v>
      </c>
      <c r="K180" s="650">
        <v>252.12</v>
      </c>
    </row>
    <row r="181" spans="1:11" ht="20.100000000000001" customHeight="1">
      <c r="A181" s="927" t="s">
        <v>178</v>
      </c>
      <c r="B181" s="1273" t="s">
        <v>107</v>
      </c>
      <c r="C181" s="927" t="s">
        <v>474</v>
      </c>
      <c r="D181" s="927" t="s">
        <v>177</v>
      </c>
      <c r="E181" s="927" t="s">
        <v>124</v>
      </c>
      <c r="F181" s="927" t="s">
        <v>123</v>
      </c>
      <c r="G181" s="652">
        <v>1000</v>
      </c>
      <c r="H181" s="652">
        <v>6954.7240000000002</v>
      </c>
      <c r="I181" s="652">
        <v>44.27</v>
      </c>
      <c r="J181" s="650">
        <v>147.77000000000001</v>
      </c>
      <c r="K181" s="650">
        <v>192.04000000000002</v>
      </c>
    </row>
    <row r="182" spans="1:11" ht="20.100000000000001" customHeight="1">
      <c r="A182" s="927" t="s">
        <v>817</v>
      </c>
      <c r="B182" s="1273" t="s">
        <v>107</v>
      </c>
      <c r="C182" s="1273" t="s">
        <v>474</v>
      </c>
      <c r="D182" s="927" t="s">
        <v>177</v>
      </c>
      <c r="E182" s="927" t="s">
        <v>124</v>
      </c>
      <c r="F182" s="927" t="s">
        <v>123</v>
      </c>
      <c r="G182" s="652">
        <v>1000</v>
      </c>
      <c r="H182" s="652">
        <v>7581.4059999999999</v>
      </c>
      <c r="I182" s="652">
        <v>143.61000000000001</v>
      </c>
      <c r="J182" s="650">
        <v>155.76</v>
      </c>
      <c r="K182" s="650">
        <v>299.37</v>
      </c>
    </row>
    <row r="183" spans="1:11" ht="20.100000000000001" customHeight="1">
      <c r="A183" s="930" t="s">
        <v>179</v>
      </c>
      <c r="B183" s="1280" t="s">
        <v>107</v>
      </c>
      <c r="C183" s="1281" t="s">
        <v>474</v>
      </c>
      <c r="D183" s="930" t="s">
        <v>177</v>
      </c>
      <c r="E183" s="930" t="s">
        <v>124</v>
      </c>
      <c r="F183" s="930" t="s">
        <v>123</v>
      </c>
      <c r="G183" s="1275">
        <v>105</v>
      </c>
      <c r="H183" s="1275">
        <v>208.55</v>
      </c>
      <c r="I183" s="1275">
        <v>378.71</v>
      </c>
      <c r="J183" s="650">
        <v>327.24</v>
      </c>
      <c r="K183" s="650">
        <v>705.95</v>
      </c>
    </row>
    <row r="184" spans="1:11" ht="20.100000000000001" customHeight="1">
      <c r="A184" s="927" t="s">
        <v>180</v>
      </c>
      <c r="B184" s="1273" t="s">
        <v>107</v>
      </c>
      <c r="C184" s="927" t="s">
        <v>474</v>
      </c>
      <c r="D184" s="927" t="s">
        <v>177</v>
      </c>
      <c r="E184" s="927" t="s">
        <v>124</v>
      </c>
      <c r="F184" s="927" t="s">
        <v>123</v>
      </c>
      <c r="G184" s="652">
        <v>500</v>
      </c>
      <c r="H184" s="652">
        <v>2661.5540000000001</v>
      </c>
      <c r="I184" s="652">
        <v>200.03</v>
      </c>
      <c r="J184" s="650">
        <v>305.14999999999998</v>
      </c>
      <c r="K184" s="650">
        <v>505.17</v>
      </c>
    </row>
    <row r="185" spans="1:11" ht="20.100000000000001" customHeight="1">
      <c r="A185" s="927" t="s">
        <v>181</v>
      </c>
      <c r="B185" s="1273" t="s">
        <v>107</v>
      </c>
      <c r="C185" s="927" t="s">
        <v>474</v>
      </c>
      <c r="D185" s="927" t="s">
        <v>177</v>
      </c>
      <c r="E185" s="927" t="s">
        <v>124</v>
      </c>
      <c r="F185" s="927" t="s">
        <v>123</v>
      </c>
      <c r="G185" s="652">
        <v>1000</v>
      </c>
      <c r="H185" s="652">
        <v>3292.6559999999999</v>
      </c>
      <c r="I185" s="652">
        <v>74.48</v>
      </c>
      <c r="J185" s="650">
        <v>174.65</v>
      </c>
      <c r="K185" s="650">
        <v>249.13</v>
      </c>
    </row>
    <row r="186" spans="1:11" ht="20.100000000000001" customHeight="1">
      <c r="A186" s="927" t="s">
        <v>182</v>
      </c>
      <c r="B186" s="1264" t="s">
        <v>107</v>
      </c>
      <c r="C186" s="1273" t="s">
        <v>474</v>
      </c>
      <c r="D186" s="927" t="s">
        <v>177</v>
      </c>
      <c r="E186" s="927" t="s">
        <v>124</v>
      </c>
      <c r="F186" s="650" t="s">
        <v>123</v>
      </c>
      <c r="G186" s="651">
        <v>220</v>
      </c>
      <c r="H186" s="651">
        <v>147.589</v>
      </c>
      <c r="I186" s="652">
        <v>404.82</v>
      </c>
      <c r="J186" s="650">
        <v>335</v>
      </c>
      <c r="K186" s="650">
        <v>739.82</v>
      </c>
    </row>
    <row r="187" spans="1:11" ht="20.100000000000001" customHeight="1">
      <c r="A187" s="927" t="s">
        <v>183</v>
      </c>
      <c r="B187" s="1273" t="s">
        <v>107</v>
      </c>
      <c r="C187" s="1273" t="s">
        <v>474</v>
      </c>
      <c r="D187" s="927" t="s">
        <v>177</v>
      </c>
      <c r="E187" s="932" t="s">
        <v>124</v>
      </c>
      <c r="F187" s="927" t="s">
        <v>123</v>
      </c>
      <c r="G187" s="652">
        <v>420</v>
      </c>
      <c r="H187" s="652">
        <v>1814.8710000000001</v>
      </c>
      <c r="I187" s="652">
        <v>183.85</v>
      </c>
      <c r="J187" s="650">
        <v>318.10000000000002</v>
      </c>
      <c r="K187" s="650">
        <v>501.94</v>
      </c>
    </row>
    <row r="188" spans="1:11" ht="20.100000000000001" customHeight="1">
      <c r="A188" s="927" t="s">
        <v>184</v>
      </c>
      <c r="B188" s="1273" t="s">
        <v>107</v>
      </c>
      <c r="C188" s="1273" t="s">
        <v>474</v>
      </c>
      <c r="D188" s="927" t="s">
        <v>177</v>
      </c>
      <c r="E188" s="932" t="s">
        <v>124</v>
      </c>
      <c r="F188" s="927" t="s">
        <v>123</v>
      </c>
      <c r="G188" s="652">
        <v>500</v>
      </c>
      <c r="H188" s="652">
        <v>2547.5340000000001</v>
      </c>
      <c r="I188" s="652">
        <v>195.79</v>
      </c>
      <c r="J188" s="650">
        <v>311.55</v>
      </c>
      <c r="K188" s="650">
        <v>507.35</v>
      </c>
    </row>
    <row r="189" spans="1:11" ht="20.100000000000001" customHeight="1">
      <c r="A189" s="927" t="s">
        <v>185</v>
      </c>
      <c r="B189" s="1273" t="s">
        <v>107</v>
      </c>
      <c r="C189" s="1273" t="s">
        <v>474</v>
      </c>
      <c r="D189" s="927" t="s">
        <v>186</v>
      </c>
      <c r="E189" s="932" t="s">
        <v>108</v>
      </c>
      <c r="F189" s="927" t="s">
        <v>115</v>
      </c>
      <c r="G189" s="652">
        <v>240</v>
      </c>
      <c r="H189" s="652">
        <v>802.89</v>
      </c>
      <c r="I189" s="652">
        <v>40.75</v>
      </c>
      <c r="J189" s="650">
        <v>40.75</v>
      </c>
      <c r="K189" s="650">
        <v>81.5</v>
      </c>
    </row>
    <row r="190" spans="1:11" ht="20.100000000000001" customHeight="1">
      <c r="A190" s="927" t="s">
        <v>187</v>
      </c>
      <c r="B190" s="1273" t="s">
        <v>107</v>
      </c>
      <c r="C190" s="1273" t="s">
        <v>474</v>
      </c>
      <c r="D190" s="927" t="s">
        <v>186</v>
      </c>
      <c r="E190" s="932" t="s">
        <v>108</v>
      </c>
      <c r="F190" s="927" t="s">
        <v>115</v>
      </c>
      <c r="G190" s="652">
        <v>144</v>
      </c>
      <c r="H190" s="652">
        <v>616.65</v>
      </c>
      <c r="I190" s="652">
        <v>46.8</v>
      </c>
      <c r="J190" s="650">
        <v>46.8</v>
      </c>
      <c r="K190" s="650">
        <v>93.6</v>
      </c>
    </row>
    <row r="191" spans="1:11" ht="20.100000000000001" customHeight="1">
      <c r="A191" s="927" t="s">
        <v>188</v>
      </c>
      <c r="B191" s="1273" t="s">
        <v>107</v>
      </c>
      <c r="C191" s="927" t="s">
        <v>474</v>
      </c>
      <c r="D191" s="927" t="s">
        <v>186</v>
      </c>
      <c r="E191" s="927" t="s">
        <v>108</v>
      </c>
      <c r="F191" s="927" t="s">
        <v>115</v>
      </c>
      <c r="G191" s="652">
        <v>33.75</v>
      </c>
      <c r="H191" s="652">
        <v>146.32</v>
      </c>
      <c r="I191" s="652">
        <v>56.6</v>
      </c>
      <c r="J191" s="650">
        <v>56.6</v>
      </c>
      <c r="K191" s="650">
        <v>113.2</v>
      </c>
    </row>
    <row r="192" spans="1:11" ht="20.100000000000001" customHeight="1">
      <c r="A192" s="927" t="s">
        <v>189</v>
      </c>
      <c r="B192" s="1273" t="s">
        <v>107</v>
      </c>
      <c r="C192" s="1273" t="s">
        <v>474</v>
      </c>
      <c r="D192" s="927" t="s">
        <v>186</v>
      </c>
      <c r="E192" s="927" t="s">
        <v>108</v>
      </c>
      <c r="F192" s="1267" t="s">
        <v>115</v>
      </c>
      <c r="G192" s="652">
        <v>51</v>
      </c>
      <c r="H192" s="652">
        <v>218.9</v>
      </c>
      <c r="I192" s="652">
        <v>83.65</v>
      </c>
      <c r="J192" s="650">
        <v>83.65</v>
      </c>
      <c r="K192" s="650">
        <v>167.3</v>
      </c>
    </row>
    <row r="193" spans="1:11" ht="20.100000000000001" customHeight="1">
      <c r="A193" s="927" t="s">
        <v>190</v>
      </c>
      <c r="B193" s="1273" t="s">
        <v>107</v>
      </c>
      <c r="C193" s="1273" t="s">
        <v>474</v>
      </c>
      <c r="D193" s="927" t="s">
        <v>186</v>
      </c>
      <c r="E193" s="927" t="s">
        <v>108</v>
      </c>
      <c r="F193" s="1267" t="s">
        <v>115</v>
      </c>
      <c r="G193" s="652">
        <v>41.4</v>
      </c>
      <c r="H193" s="652">
        <v>228.85</v>
      </c>
      <c r="I193" s="652">
        <v>93.4</v>
      </c>
      <c r="J193" s="650">
        <v>93.4</v>
      </c>
      <c r="K193" s="650">
        <v>186.8</v>
      </c>
    </row>
    <row r="194" spans="1:11" ht="20.100000000000001" customHeight="1">
      <c r="A194" s="927" t="s">
        <v>191</v>
      </c>
      <c r="B194" s="1273" t="s">
        <v>107</v>
      </c>
      <c r="C194" s="1273" t="s">
        <v>474</v>
      </c>
      <c r="D194" s="927" t="s">
        <v>186</v>
      </c>
      <c r="E194" s="927" t="s">
        <v>108</v>
      </c>
      <c r="F194" s="1267" t="s">
        <v>115</v>
      </c>
      <c r="G194" s="652">
        <v>120</v>
      </c>
      <c r="H194" s="652">
        <v>366.34</v>
      </c>
      <c r="I194" s="652">
        <v>48.55</v>
      </c>
      <c r="J194" s="650">
        <v>48.55</v>
      </c>
      <c r="K194" s="650">
        <v>97.1</v>
      </c>
    </row>
    <row r="195" spans="1:11" ht="20.100000000000001" customHeight="1">
      <c r="A195" s="927" t="s">
        <v>192</v>
      </c>
      <c r="B195" s="1273" t="s">
        <v>107</v>
      </c>
      <c r="C195" s="1273" t="s">
        <v>474</v>
      </c>
      <c r="D195" s="927" t="s">
        <v>186</v>
      </c>
      <c r="E195" s="927" t="s">
        <v>108</v>
      </c>
      <c r="F195" s="1267" t="s">
        <v>115</v>
      </c>
      <c r="G195" s="652">
        <v>30</v>
      </c>
      <c r="H195" s="652">
        <v>142.24</v>
      </c>
      <c r="I195" s="652">
        <v>40.950000000000003</v>
      </c>
      <c r="J195" s="650">
        <v>40.950000000000003</v>
      </c>
      <c r="K195" s="650">
        <v>81.900000000000006</v>
      </c>
    </row>
    <row r="196" spans="1:11" ht="20.100000000000001" customHeight="1">
      <c r="A196" s="927" t="s">
        <v>193</v>
      </c>
      <c r="B196" s="1273" t="s">
        <v>107</v>
      </c>
      <c r="C196" s="1273" t="s">
        <v>474</v>
      </c>
      <c r="D196" s="927" t="s">
        <v>186</v>
      </c>
      <c r="E196" s="927" t="s">
        <v>108</v>
      </c>
      <c r="F196" s="1267" t="s">
        <v>115</v>
      </c>
      <c r="G196" s="652">
        <v>90</v>
      </c>
      <c r="H196" s="652">
        <v>425.23</v>
      </c>
      <c r="I196" s="652">
        <v>53.1</v>
      </c>
      <c r="J196" s="650">
        <v>53.1</v>
      </c>
      <c r="K196" s="650">
        <v>106.2</v>
      </c>
    </row>
    <row r="197" spans="1:11" ht="20.100000000000001" customHeight="1">
      <c r="A197" s="927" t="s">
        <v>194</v>
      </c>
      <c r="B197" s="1273" t="s">
        <v>107</v>
      </c>
      <c r="C197" s="1273" t="s">
        <v>474</v>
      </c>
      <c r="D197" s="927" t="s">
        <v>186</v>
      </c>
      <c r="E197" s="927" t="s">
        <v>108</v>
      </c>
      <c r="F197" s="1267" t="s">
        <v>115</v>
      </c>
      <c r="G197" s="652">
        <v>304</v>
      </c>
      <c r="H197" s="652">
        <v>1292.58</v>
      </c>
      <c r="I197" s="652">
        <v>75.900000000000006</v>
      </c>
      <c r="J197" s="650">
        <v>75.900000000000006</v>
      </c>
      <c r="K197" s="650">
        <v>151.80000000000001</v>
      </c>
    </row>
    <row r="198" spans="1:11" ht="20.100000000000001" customHeight="1">
      <c r="A198" s="927" t="s">
        <v>195</v>
      </c>
      <c r="B198" s="1273" t="s">
        <v>107</v>
      </c>
      <c r="C198" s="1273" t="s">
        <v>474</v>
      </c>
      <c r="D198" s="927" t="s">
        <v>186</v>
      </c>
      <c r="E198" s="927" t="s">
        <v>108</v>
      </c>
      <c r="F198" s="1267" t="s">
        <v>115</v>
      </c>
      <c r="G198" s="652">
        <v>198</v>
      </c>
      <c r="H198" s="652">
        <v>186.78</v>
      </c>
      <c r="I198" s="652">
        <v>50.95</v>
      </c>
      <c r="J198" s="650">
        <v>50.95</v>
      </c>
      <c r="K198" s="650">
        <v>101.9</v>
      </c>
    </row>
    <row r="199" spans="1:11" ht="20.100000000000001" customHeight="1">
      <c r="A199" s="927" t="s">
        <v>1425</v>
      </c>
      <c r="B199" s="1273" t="s">
        <v>207</v>
      </c>
      <c r="C199" s="1273" t="s">
        <v>10</v>
      </c>
      <c r="D199" s="927" t="s">
        <v>1130</v>
      </c>
      <c r="E199" s="927" t="s">
        <v>248</v>
      </c>
      <c r="F199" s="1267" t="s">
        <v>220</v>
      </c>
      <c r="G199" s="652">
        <v>500</v>
      </c>
      <c r="H199" s="652">
        <v>3268.03</v>
      </c>
      <c r="I199" s="652">
        <v>55.98</v>
      </c>
      <c r="J199" s="650">
        <v>387.74</v>
      </c>
      <c r="K199" s="650">
        <v>443.71</v>
      </c>
    </row>
    <row r="200" spans="1:11" ht="27.75" customHeight="1">
      <c r="A200" s="927" t="s">
        <v>590</v>
      </c>
      <c r="B200" s="1273" t="s">
        <v>207</v>
      </c>
      <c r="C200" s="1273" t="s">
        <v>10</v>
      </c>
      <c r="D200" s="927" t="s">
        <v>591</v>
      </c>
      <c r="E200" s="927" t="s">
        <v>248</v>
      </c>
      <c r="F200" s="1267" t="s">
        <v>220</v>
      </c>
      <c r="G200" s="652">
        <v>1350</v>
      </c>
      <c r="H200" s="652">
        <v>3717.116</v>
      </c>
      <c r="I200" s="652">
        <v>110</v>
      </c>
      <c r="J200" s="650">
        <v>277.55</v>
      </c>
      <c r="K200" s="650">
        <v>387.55</v>
      </c>
    </row>
    <row r="201" spans="1:11" ht="50.25" customHeight="1">
      <c r="A201" s="927" t="s">
        <v>1116</v>
      </c>
      <c r="B201" s="1273" t="s">
        <v>107</v>
      </c>
      <c r="C201" s="1273" t="s">
        <v>10</v>
      </c>
      <c r="D201" s="927" t="s">
        <v>247</v>
      </c>
      <c r="E201" s="927" t="s">
        <v>248</v>
      </c>
      <c r="F201" s="1267" t="s">
        <v>173</v>
      </c>
      <c r="G201" s="652">
        <v>1320</v>
      </c>
      <c r="H201" s="652">
        <v>7187.6</v>
      </c>
      <c r="I201" s="652">
        <v>135</v>
      </c>
      <c r="J201" s="650">
        <v>235.08</v>
      </c>
      <c r="K201" s="650">
        <v>370.08000000000004</v>
      </c>
    </row>
    <row r="202" spans="1:11" ht="39.75" customHeight="1">
      <c r="A202" s="927" t="s">
        <v>832</v>
      </c>
      <c r="B202" s="1273" t="s">
        <v>207</v>
      </c>
      <c r="C202" s="1273" t="s">
        <v>10</v>
      </c>
      <c r="D202" s="927" t="s">
        <v>1426</v>
      </c>
      <c r="E202" s="927" t="s">
        <v>1427</v>
      </c>
      <c r="F202" s="927" t="s">
        <v>249</v>
      </c>
      <c r="G202" s="652">
        <v>30</v>
      </c>
      <c r="H202" s="652">
        <v>183.44</v>
      </c>
      <c r="I202" s="652">
        <v>0</v>
      </c>
      <c r="J202" s="650">
        <v>240</v>
      </c>
      <c r="K202" s="650">
        <v>240</v>
      </c>
    </row>
    <row r="203" spans="1:11" ht="31.5" customHeight="1">
      <c r="A203" s="927" t="s">
        <v>833</v>
      </c>
      <c r="B203" s="1273" t="s">
        <v>207</v>
      </c>
      <c r="C203" s="1273" t="s">
        <v>10</v>
      </c>
      <c r="D203" s="927" t="s">
        <v>1428</v>
      </c>
      <c r="E203" s="927" t="s">
        <v>1427</v>
      </c>
      <c r="F203" s="927" t="s">
        <v>249</v>
      </c>
      <c r="G203" s="652">
        <v>30</v>
      </c>
      <c r="H203" s="652">
        <v>210.39</v>
      </c>
      <c r="I203" s="652">
        <v>0</v>
      </c>
      <c r="J203" s="650">
        <v>240</v>
      </c>
      <c r="K203" s="650">
        <v>240</v>
      </c>
    </row>
    <row r="204" spans="1:11" ht="20.100000000000001" customHeight="1">
      <c r="A204" s="927" t="s">
        <v>826</v>
      </c>
      <c r="B204" s="1273" t="s">
        <v>207</v>
      </c>
      <c r="C204" s="1273" t="s">
        <v>474</v>
      </c>
      <c r="D204" s="927" t="s">
        <v>588</v>
      </c>
      <c r="E204" s="927" t="s">
        <v>120</v>
      </c>
      <c r="F204" s="927" t="s">
        <v>211</v>
      </c>
      <c r="G204" s="652">
        <v>156.1</v>
      </c>
      <c r="H204" s="652">
        <v>22.35</v>
      </c>
      <c r="I204" s="652">
        <v>46</v>
      </c>
      <c r="J204" s="650">
        <v>749</v>
      </c>
      <c r="K204" s="650">
        <v>795</v>
      </c>
    </row>
    <row r="205" spans="1:11" ht="27.75" customHeight="1">
      <c r="A205" s="927" t="s">
        <v>827</v>
      </c>
      <c r="B205" s="1273" t="s">
        <v>207</v>
      </c>
      <c r="C205" s="1273" t="s">
        <v>474</v>
      </c>
      <c r="D205" s="927" t="s">
        <v>588</v>
      </c>
      <c r="E205" s="927" t="s">
        <v>120</v>
      </c>
      <c r="F205" s="927" t="s">
        <v>211</v>
      </c>
      <c r="G205" s="652">
        <v>351.43</v>
      </c>
      <c r="H205" s="652">
        <v>340.14</v>
      </c>
      <c r="I205" s="652">
        <v>69</v>
      </c>
      <c r="J205" s="650">
        <v>641</v>
      </c>
      <c r="K205" s="650">
        <v>710</v>
      </c>
    </row>
    <row r="206" spans="1:11" ht="20.100000000000001" customHeight="1">
      <c r="A206" s="927" t="s">
        <v>592</v>
      </c>
      <c r="B206" s="1273" t="s">
        <v>207</v>
      </c>
      <c r="C206" s="1273" t="s">
        <v>474</v>
      </c>
      <c r="D206" s="927" t="s">
        <v>660</v>
      </c>
      <c r="E206" s="927" t="s">
        <v>1429</v>
      </c>
      <c r="F206" s="927" t="s">
        <v>211</v>
      </c>
      <c r="G206" s="652">
        <v>702.86</v>
      </c>
      <c r="H206" s="652">
        <v>493.8</v>
      </c>
      <c r="I206" s="652">
        <v>60</v>
      </c>
      <c r="J206" s="650">
        <v>589</v>
      </c>
      <c r="K206" s="650">
        <v>649</v>
      </c>
    </row>
    <row r="207" spans="1:11" ht="25.5" customHeight="1">
      <c r="A207" s="927" t="s">
        <v>549</v>
      </c>
      <c r="B207" s="1273" t="s">
        <v>207</v>
      </c>
      <c r="C207" s="1273" t="s">
        <v>10</v>
      </c>
      <c r="D207" s="927" t="s">
        <v>550</v>
      </c>
      <c r="E207" s="927" t="s">
        <v>124</v>
      </c>
      <c r="F207" s="927" t="s">
        <v>249</v>
      </c>
      <c r="G207" s="652">
        <v>12</v>
      </c>
      <c r="H207" s="652">
        <v>90489</v>
      </c>
      <c r="I207" s="652">
        <v>0</v>
      </c>
      <c r="J207" s="650">
        <v>240</v>
      </c>
      <c r="K207" s="650">
        <v>240</v>
      </c>
    </row>
    <row r="208" spans="1:11" ht="25.5" customHeight="1">
      <c r="A208" s="927" t="s">
        <v>551</v>
      </c>
      <c r="B208" s="1273" t="s">
        <v>207</v>
      </c>
      <c r="C208" s="1273" t="s">
        <v>10</v>
      </c>
      <c r="D208" s="927" t="s">
        <v>250</v>
      </c>
      <c r="E208" s="927" t="s">
        <v>120</v>
      </c>
      <c r="F208" s="927" t="s">
        <v>211</v>
      </c>
      <c r="G208" s="652">
        <v>165</v>
      </c>
      <c r="H208" s="652" t="s">
        <v>1430</v>
      </c>
      <c r="I208" s="652"/>
      <c r="J208" s="650"/>
      <c r="K208" s="650"/>
    </row>
    <row r="209" spans="1:11" ht="25.5" customHeight="1">
      <c r="A209" s="927" t="s">
        <v>552</v>
      </c>
      <c r="B209" s="1273" t="s">
        <v>207</v>
      </c>
      <c r="C209" s="1273" t="s">
        <v>10</v>
      </c>
      <c r="D209" s="927" t="s">
        <v>250</v>
      </c>
      <c r="E209" s="927" t="s">
        <v>120</v>
      </c>
      <c r="F209" s="927" t="s">
        <v>211</v>
      </c>
      <c r="G209" s="652">
        <v>145</v>
      </c>
      <c r="H209" s="652">
        <v>685.58600000000001</v>
      </c>
      <c r="I209" s="652">
        <v>78.34</v>
      </c>
      <c r="J209" s="650">
        <v>461.34</v>
      </c>
      <c r="K209" s="650">
        <v>539.67999999999995</v>
      </c>
    </row>
    <row r="210" spans="1:11" ht="25.5" customHeight="1">
      <c r="A210" s="927" t="s">
        <v>1431</v>
      </c>
      <c r="B210" s="1273" t="s">
        <v>207</v>
      </c>
      <c r="C210" s="1273" t="s">
        <v>10</v>
      </c>
      <c r="D210" s="927" t="s">
        <v>250</v>
      </c>
      <c r="E210" s="927" t="s">
        <v>141</v>
      </c>
      <c r="F210" s="927" t="s">
        <v>211</v>
      </c>
      <c r="G210" s="652">
        <v>250</v>
      </c>
      <c r="H210" s="652">
        <v>1490.203</v>
      </c>
      <c r="I210" s="652">
        <v>87.95</v>
      </c>
      <c r="J210" s="650">
        <v>144.02000000000001</v>
      </c>
      <c r="K210" s="650">
        <v>231.97</v>
      </c>
    </row>
    <row r="211" spans="1:11" ht="25.5" customHeight="1">
      <c r="A211" s="927" t="s">
        <v>1129</v>
      </c>
      <c r="B211" s="1273" t="s">
        <v>207</v>
      </c>
      <c r="C211" s="1273" t="s">
        <v>10</v>
      </c>
      <c r="D211" s="927" t="s">
        <v>250</v>
      </c>
      <c r="E211" s="927" t="s">
        <v>199</v>
      </c>
      <c r="F211" s="927" t="s">
        <v>211</v>
      </c>
      <c r="G211" s="652">
        <v>250</v>
      </c>
      <c r="H211" s="652">
        <v>1594.9280000000001</v>
      </c>
      <c r="I211" s="652">
        <v>165.4</v>
      </c>
      <c r="J211" s="650">
        <v>141.25</v>
      </c>
      <c r="K211" s="650">
        <v>306.66000000000003</v>
      </c>
    </row>
    <row r="212" spans="1:11" ht="20.100000000000001" customHeight="1">
      <c r="A212" s="927" t="s">
        <v>1432</v>
      </c>
      <c r="B212" s="1273" t="s">
        <v>207</v>
      </c>
      <c r="C212" s="1273" t="s">
        <v>474</v>
      </c>
      <c r="D212" s="927" t="s">
        <v>463</v>
      </c>
      <c r="E212" s="927" t="s">
        <v>199</v>
      </c>
      <c r="F212" s="927" t="s">
        <v>211</v>
      </c>
      <c r="G212" s="652">
        <v>500</v>
      </c>
      <c r="H212" s="652">
        <v>485.89</v>
      </c>
      <c r="I212" s="652">
        <v>240</v>
      </c>
      <c r="J212" s="650">
        <v>224</v>
      </c>
      <c r="K212" s="650">
        <v>464</v>
      </c>
    </row>
    <row r="213" spans="1:11" ht="20.100000000000001" customHeight="1">
      <c r="A213" s="927" t="s">
        <v>661</v>
      </c>
      <c r="B213" s="1273" t="s">
        <v>207</v>
      </c>
      <c r="C213" s="1273" t="s">
        <v>474</v>
      </c>
      <c r="D213" s="927" t="s">
        <v>251</v>
      </c>
      <c r="E213" s="927" t="s">
        <v>199</v>
      </c>
      <c r="F213" s="927" t="s">
        <v>211</v>
      </c>
      <c r="G213" s="652">
        <v>250</v>
      </c>
      <c r="H213" s="652">
        <v>957.23</v>
      </c>
      <c r="I213" s="652">
        <v>117</v>
      </c>
      <c r="J213" s="650">
        <v>114</v>
      </c>
      <c r="K213" s="650">
        <v>231</v>
      </c>
    </row>
    <row r="214" spans="1:11" ht="27" customHeight="1">
      <c r="A214" s="927" t="s">
        <v>834</v>
      </c>
      <c r="B214" s="1273" t="s">
        <v>207</v>
      </c>
      <c r="C214" s="1273" t="s">
        <v>10</v>
      </c>
      <c r="D214" s="927" t="s">
        <v>669</v>
      </c>
      <c r="E214" s="927" t="s">
        <v>124</v>
      </c>
      <c r="F214" s="927" t="s">
        <v>213</v>
      </c>
      <c r="G214" s="652">
        <v>300</v>
      </c>
      <c r="H214" s="652">
        <v>1957</v>
      </c>
      <c r="I214" s="652">
        <v>135</v>
      </c>
      <c r="J214" s="650">
        <v>224</v>
      </c>
      <c r="K214" s="650">
        <v>359</v>
      </c>
    </row>
    <row r="215" spans="1:11" ht="27" customHeight="1">
      <c r="A215" s="927" t="s">
        <v>835</v>
      </c>
      <c r="B215" s="1273" t="s">
        <v>207</v>
      </c>
      <c r="C215" s="1273" t="s">
        <v>10</v>
      </c>
      <c r="D215" s="927" t="s">
        <v>669</v>
      </c>
      <c r="E215" s="927" t="s">
        <v>124</v>
      </c>
      <c r="F215" s="927" t="s">
        <v>213</v>
      </c>
      <c r="G215" s="652">
        <v>300</v>
      </c>
      <c r="H215" s="652">
        <v>1962</v>
      </c>
      <c r="I215" s="652">
        <v>0</v>
      </c>
      <c r="J215" s="650">
        <v>0</v>
      </c>
      <c r="K215" s="650">
        <v>347</v>
      </c>
    </row>
    <row r="216" spans="1:11" ht="27" customHeight="1">
      <c r="A216" s="927" t="s">
        <v>554</v>
      </c>
      <c r="B216" s="1273" t="s">
        <v>207</v>
      </c>
      <c r="C216" s="1273" t="s">
        <v>8</v>
      </c>
      <c r="D216" s="927" t="s">
        <v>587</v>
      </c>
      <c r="E216" s="927" t="s">
        <v>124</v>
      </c>
      <c r="F216" s="927" t="s">
        <v>213</v>
      </c>
      <c r="G216" s="652">
        <v>500</v>
      </c>
      <c r="H216" s="652">
        <v>3426.24</v>
      </c>
      <c r="I216" s="652">
        <v>170.59</v>
      </c>
      <c r="J216" s="650">
        <v>228.24</v>
      </c>
      <c r="K216" s="650">
        <v>398.83000000000004</v>
      </c>
    </row>
    <row r="217" spans="1:11" ht="27" customHeight="1">
      <c r="A217" s="927" t="s">
        <v>670</v>
      </c>
      <c r="B217" s="1273" t="s">
        <v>207</v>
      </c>
      <c r="C217" s="1273" t="s">
        <v>10</v>
      </c>
      <c r="D217" s="927" t="s">
        <v>555</v>
      </c>
      <c r="E217" s="927" t="s">
        <v>124</v>
      </c>
      <c r="F217" s="927" t="s">
        <v>213</v>
      </c>
      <c r="G217" s="652">
        <v>1000</v>
      </c>
      <c r="H217" s="652">
        <v>3009.17</v>
      </c>
      <c r="I217" s="652">
        <v>0</v>
      </c>
      <c r="J217" s="650">
        <v>0</v>
      </c>
      <c r="K217" s="650">
        <v>333</v>
      </c>
    </row>
    <row r="218" spans="1:11" ht="27" customHeight="1">
      <c r="A218" s="927" t="s">
        <v>671</v>
      </c>
      <c r="B218" s="1273" t="s">
        <v>207</v>
      </c>
      <c r="C218" s="1273" t="s">
        <v>10</v>
      </c>
      <c r="D218" s="927" t="s">
        <v>555</v>
      </c>
      <c r="E218" s="927" t="s">
        <v>124</v>
      </c>
      <c r="F218" s="927" t="s">
        <v>213</v>
      </c>
      <c r="G218" s="652">
        <v>2400</v>
      </c>
      <c r="H218" s="652">
        <v>6660.52</v>
      </c>
      <c r="I218" s="652">
        <v>0</v>
      </c>
      <c r="J218" s="650">
        <v>0</v>
      </c>
      <c r="K218" s="650">
        <v>428</v>
      </c>
    </row>
    <row r="219" spans="1:11" ht="20.100000000000001" customHeight="1">
      <c r="A219" s="927" t="s">
        <v>253</v>
      </c>
      <c r="B219" s="1273" t="s">
        <v>207</v>
      </c>
      <c r="C219" s="1273" t="s">
        <v>10</v>
      </c>
      <c r="D219" s="927" t="s">
        <v>553</v>
      </c>
      <c r="E219" s="927" t="s">
        <v>124</v>
      </c>
      <c r="F219" s="927" t="s">
        <v>220</v>
      </c>
      <c r="G219" s="652">
        <v>500</v>
      </c>
      <c r="H219" s="652">
        <v>2928.31</v>
      </c>
      <c r="I219" s="652">
        <v>165.34</v>
      </c>
      <c r="J219" s="650">
        <v>398.8</v>
      </c>
      <c r="K219" s="650">
        <v>564.14</v>
      </c>
    </row>
    <row r="220" spans="1:11" ht="20.100000000000001" customHeight="1">
      <c r="A220" s="927" t="s">
        <v>254</v>
      </c>
      <c r="B220" s="1273" t="s">
        <v>207</v>
      </c>
      <c r="C220" s="1273" t="s">
        <v>10</v>
      </c>
      <c r="D220" s="927" t="s">
        <v>553</v>
      </c>
      <c r="E220" s="927" t="s">
        <v>200</v>
      </c>
      <c r="F220" s="927" t="s">
        <v>220</v>
      </c>
      <c r="G220" s="652">
        <v>180</v>
      </c>
      <c r="H220" s="652">
        <v>1371.38</v>
      </c>
      <c r="I220" s="652">
        <v>125.14</v>
      </c>
      <c r="J220" s="650">
        <v>180</v>
      </c>
      <c r="K220" s="650">
        <v>305.14</v>
      </c>
    </row>
    <row r="221" spans="1:11" ht="20.100000000000001" customHeight="1">
      <c r="A221" s="927" t="s">
        <v>255</v>
      </c>
      <c r="B221" s="1273" t="s">
        <v>207</v>
      </c>
      <c r="C221" s="1273" t="s">
        <v>10</v>
      </c>
      <c r="D221" s="927" t="s">
        <v>553</v>
      </c>
      <c r="E221" s="927" t="s">
        <v>124</v>
      </c>
      <c r="F221" s="927" t="s">
        <v>220</v>
      </c>
      <c r="G221" s="652">
        <v>250</v>
      </c>
      <c r="H221" s="652">
        <v>1792.74</v>
      </c>
      <c r="I221" s="652">
        <v>150.49</v>
      </c>
      <c r="J221" s="650">
        <v>394.3</v>
      </c>
      <c r="K221" s="650">
        <v>544.79</v>
      </c>
    </row>
    <row r="222" spans="1:11" ht="20.100000000000001" customHeight="1">
      <c r="A222" s="927" t="s">
        <v>256</v>
      </c>
      <c r="B222" s="1273" t="s">
        <v>207</v>
      </c>
      <c r="C222" s="1273" t="s">
        <v>10</v>
      </c>
      <c r="D222" s="927" t="s">
        <v>553</v>
      </c>
      <c r="E222" s="927" t="s">
        <v>108</v>
      </c>
      <c r="F222" s="927" t="s">
        <v>220</v>
      </c>
      <c r="G222" s="652">
        <v>300</v>
      </c>
      <c r="H222" s="652">
        <v>897.54</v>
      </c>
      <c r="I222" s="652">
        <v>75</v>
      </c>
      <c r="J222" s="650">
        <v>75</v>
      </c>
      <c r="K222" s="650">
        <v>150</v>
      </c>
    </row>
    <row r="223" spans="1:11" ht="20.100000000000001" customHeight="1">
      <c r="A223" s="927" t="s">
        <v>257</v>
      </c>
      <c r="B223" s="1273" t="s">
        <v>207</v>
      </c>
      <c r="C223" s="1273" t="s">
        <v>10</v>
      </c>
      <c r="D223" s="927" t="s">
        <v>553</v>
      </c>
      <c r="E223" s="927" t="s">
        <v>108</v>
      </c>
      <c r="F223" s="927" t="s">
        <v>220</v>
      </c>
      <c r="G223" s="652">
        <v>75</v>
      </c>
      <c r="H223" s="652">
        <v>337.82</v>
      </c>
      <c r="I223" s="652">
        <v>186</v>
      </c>
      <c r="J223" s="650">
        <v>186</v>
      </c>
      <c r="K223" s="650">
        <v>372</v>
      </c>
    </row>
    <row r="224" spans="1:11" ht="20.100000000000001" customHeight="1">
      <c r="A224" s="927" t="s">
        <v>258</v>
      </c>
      <c r="B224" s="1273" t="s">
        <v>207</v>
      </c>
      <c r="C224" s="1273" t="s">
        <v>10</v>
      </c>
      <c r="D224" s="927" t="s">
        <v>553</v>
      </c>
      <c r="E224" s="927" t="s">
        <v>108</v>
      </c>
      <c r="F224" s="927" t="s">
        <v>220</v>
      </c>
      <c r="G224" s="652">
        <v>72</v>
      </c>
      <c r="H224" s="652">
        <v>313.49</v>
      </c>
      <c r="I224" s="652">
        <v>299</v>
      </c>
      <c r="J224" s="650">
        <v>299</v>
      </c>
      <c r="K224" s="650">
        <v>598</v>
      </c>
    </row>
    <row r="225" spans="1:11" ht="20.100000000000001" customHeight="1">
      <c r="A225" s="927" t="s">
        <v>252</v>
      </c>
      <c r="B225" s="1273" t="s">
        <v>207</v>
      </c>
      <c r="C225" s="1273" t="s">
        <v>10</v>
      </c>
      <c r="D225" s="927" t="s">
        <v>553</v>
      </c>
      <c r="E225" s="927" t="s">
        <v>124</v>
      </c>
      <c r="F225" s="927" t="s">
        <v>211</v>
      </c>
      <c r="G225" s="652">
        <v>4150</v>
      </c>
      <c r="H225" s="652">
        <v>24752.41</v>
      </c>
      <c r="I225" s="652">
        <v>97</v>
      </c>
      <c r="J225" s="650">
        <v>173</v>
      </c>
      <c r="K225" s="650">
        <v>270</v>
      </c>
    </row>
    <row r="226" spans="1:11" ht="27" customHeight="1">
      <c r="A226" s="927" t="s">
        <v>1131</v>
      </c>
      <c r="B226" s="1273" t="s">
        <v>207</v>
      </c>
      <c r="C226" s="1273" t="s">
        <v>10</v>
      </c>
      <c r="D226" s="927" t="s">
        <v>672</v>
      </c>
      <c r="E226" s="927" t="s">
        <v>108</v>
      </c>
      <c r="F226" s="927" t="s">
        <v>220</v>
      </c>
      <c r="G226" s="652">
        <v>34</v>
      </c>
      <c r="H226" s="652">
        <v>35.642400000000002</v>
      </c>
      <c r="I226" s="652">
        <v>0</v>
      </c>
      <c r="J226" s="650">
        <v>0</v>
      </c>
      <c r="K226" s="650">
        <v>393</v>
      </c>
    </row>
    <row r="227" spans="1:11" ht="20.100000000000001" customHeight="1">
      <c r="A227" s="927" t="s">
        <v>260</v>
      </c>
      <c r="B227" s="1273" t="s">
        <v>259</v>
      </c>
      <c r="C227" s="1273" t="s">
        <v>8</v>
      </c>
      <c r="D227" s="927" t="s">
        <v>652</v>
      </c>
      <c r="E227" s="927" t="s">
        <v>141</v>
      </c>
      <c r="F227" s="927" t="s">
        <v>261</v>
      </c>
      <c r="G227" s="652">
        <v>600</v>
      </c>
      <c r="H227" s="652">
        <v>2691.04</v>
      </c>
      <c r="I227" s="652">
        <v>105.9</v>
      </c>
      <c r="J227" s="650">
        <v>362.3</v>
      </c>
      <c r="K227" s="650">
        <v>468.20000000000005</v>
      </c>
    </row>
    <row r="228" spans="1:11" ht="20.100000000000001" customHeight="1">
      <c r="A228" s="927" t="s">
        <v>262</v>
      </c>
      <c r="B228" s="1273" t="s">
        <v>259</v>
      </c>
      <c r="C228" s="1273" t="s">
        <v>8</v>
      </c>
      <c r="D228" s="927" t="s">
        <v>652</v>
      </c>
      <c r="E228" s="927" t="s">
        <v>141</v>
      </c>
      <c r="F228" s="927" t="s">
        <v>261</v>
      </c>
      <c r="G228" s="652">
        <v>420</v>
      </c>
      <c r="H228" s="652">
        <v>2707.32</v>
      </c>
      <c r="I228" s="652">
        <v>102.5</v>
      </c>
      <c r="J228" s="650">
        <v>239.2</v>
      </c>
      <c r="K228" s="650">
        <v>341.7</v>
      </c>
    </row>
    <row r="229" spans="1:11" ht="20.100000000000001" customHeight="1">
      <c r="A229" s="927" t="s">
        <v>263</v>
      </c>
      <c r="B229" s="1273" t="s">
        <v>259</v>
      </c>
      <c r="C229" s="1273" t="s">
        <v>8</v>
      </c>
      <c r="D229" s="927" t="s">
        <v>652</v>
      </c>
      <c r="E229" s="927" t="s">
        <v>141</v>
      </c>
      <c r="F229" s="927" t="s">
        <v>261</v>
      </c>
      <c r="G229" s="652">
        <v>1470</v>
      </c>
      <c r="H229" s="652">
        <v>9692.52</v>
      </c>
      <c r="I229" s="652">
        <v>82.2</v>
      </c>
      <c r="J229" s="650">
        <v>258.25</v>
      </c>
      <c r="K229" s="650">
        <v>340.45</v>
      </c>
    </row>
    <row r="230" spans="1:11" ht="20.100000000000001" customHeight="1">
      <c r="A230" s="1267" t="s">
        <v>837</v>
      </c>
      <c r="B230" s="1276" t="s">
        <v>259</v>
      </c>
      <c r="C230" s="1276" t="s">
        <v>8</v>
      </c>
      <c r="D230" s="1267" t="s">
        <v>1132</v>
      </c>
      <c r="E230" s="1267" t="s">
        <v>158</v>
      </c>
      <c r="F230" s="1267" t="s">
        <v>261</v>
      </c>
      <c r="G230" s="1269">
        <v>1500</v>
      </c>
      <c r="H230" s="1269">
        <v>7111.42</v>
      </c>
      <c r="I230" s="1269">
        <v>178.4</v>
      </c>
      <c r="J230" s="650">
        <v>337.7</v>
      </c>
      <c r="K230" s="650">
        <v>516.1</v>
      </c>
    </row>
    <row r="231" spans="1:11" ht="20.100000000000001" customHeight="1">
      <c r="A231" s="1267" t="s">
        <v>1433</v>
      </c>
      <c r="B231" s="1276" t="s">
        <v>259</v>
      </c>
      <c r="C231" s="1276" t="s">
        <v>474</v>
      </c>
      <c r="D231" s="1267" t="s">
        <v>1434</v>
      </c>
      <c r="E231" s="1267" t="s">
        <v>158</v>
      </c>
      <c r="F231" s="1267" t="s">
        <v>593</v>
      </c>
      <c r="G231" s="1269">
        <v>1200</v>
      </c>
      <c r="H231" s="1269">
        <v>8208.2139999999999</v>
      </c>
      <c r="I231" s="1269">
        <v>181.8</v>
      </c>
      <c r="J231" s="650">
        <v>242.6</v>
      </c>
      <c r="K231" s="650">
        <v>424.4</v>
      </c>
    </row>
    <row r="232" spans="1:11" ht="20.100000000000001" customHeight="1">
      <c r="A232" s="1267" t="s">
        <v>140</v>
      </c>
      <c r="B232" s="1276" t="s">
        <v>107</v>
      </c>
      <c r="C232" s="1276" t="s">
        <v>8</v>
      </c>
      <c r="D232" s="1267" t="s">
        <v>652</v>
      </c>
      <c r="E232" s="1267" t="s">
        <v>141</v>
      </c>
      <c r="F232" s="1267" t="s">
        <v>121</v>
      </c>
      <c r="G232" s="1269">
        <v>250</v>
      </c>
      <c r="H232" s="1269">
        <v>1179.76</v>
      </c>
      <c r="I232" s="1269">
        <v>228.2</v>
      </c>
      <c r="J232" s="650">
        <v>112.8</v>
      </c>
      <c r="K232" s="650">
        <v>341</v>
      </c>
    </row>
    <row r="233" spans="1:11" ht="20.100000000000001" customHeight="1">
      <c r="A233" s="1267" t="s">
        <v>673</v>
      </c>
      <c r="B233" s="1276" t="s">
        <v>259</v>
      </c>
      <c r="C233" s="1276" t="s">
        <v>8</v>
      </c>
      <c r="D233" s="1267" t="s">
        <v>652</v>
      </c>
      <c r="E233" s="1267" t="s">
        <v>141</v>
      </c>
      <c r="F233" s="1267" t="s">
        <v>261</v>
      </c>
      <c r="G233" s="1269">
        <v>500</v>
      </c>
      <c r="H233" s="1269">
        <v>1639.31</v>
      </c>
      <c r="I233" s="1269">
        <v>246.3</v>
      </c>
      <c r="J233" s="650">
        <v>238.3</v>
      </c>
      <c r="K233" s="650">
        <v>484.6</v>
      </c>
    </row>
    <row r="234" spans="1:11" ht="27" customHeight="1">
      <c r="A234" s="1267" t="s">
        <v>836</v>
      </c>
      <c r="B234" s="1276" t="s">
        <v>259</v>
      </c>
      <c r="C234" s="1276" t="s">
        <v>8</v>
      </c>
      <c r="D234" s="1267" t="s">
        <v>652</v>
      </c>
      <c r="E234" s="1267" t="s">
        <v>158</v>
      </c>
      <c r="F234" s="1267" t="s">
        <v>261</v>
      </c>
      <c r="G234" s="1269">
        <v>1000</v>
      </c>
      <c r="H234" s="1269">
        <v>5113.2700000000004</v>
      </c>
      <c r="I234" s="1269">
        <v>156.19999999999999</v>
      </c>
      <c r="J234" s="650">
        <v>315.5</v>
      </c>
      <c r="K234" s="650">
        <v>471.7</v>
      </c>
    </row>
    <row r="235" spans="1:11" ht="20.100000000000001" customHeight="1">
      <c r="A235" s="1267" t="s">
        <v>265</v>
      </c>
      <c r="B235" s="1276" t="s">
        <v>259</v>
      </c>
      <c r="C235" s="1276" t="s">
        <v>8</v>
      </c>
      <c r="D235" s="1267" t="s">
        <v>119</v>
      </c>
      <c r="E235" s="1267" t="s">
        <v>124</v>
      </c>
      <c r="F235" s="1267" t="s">
        <v>593</v>
      </c>
      <c r="G235" s="1269">
        <v>2100</v>
      </c>
      <c r="H235" s="1269">
        <v>14000</v>
      </c>
      <c r="I235" s="1269">
        <v>73</v>
      </c>
      <c r="J235" s="650">
        <v>255</v>
      </c>
      <c r="K235" s="650">
        <v>328</v>
      </c>
    </row>
    <row r="236" spans="1:11" ht="20.100000000000001" customHeight="1">
      <c r="A236" s="1267" t="s">
        <v>267</v>
      </c>
      <c r="B236" s="1276" t="s">
        <v>259</v>
      </c>
      <c r="C236" s="1276" t="s">
        <v>8</v>
      </c>
      <c r="D236" s="1267" t="s">
        <v>119</v>
      </c>
      <c r="E236" s="1267" t="s">
        <v>124</v>
      </c>
      <c r="F236" s="1267" t="s">
        <v>593</v>
      </c>
      <c r="G236" s="1269">
        <v>500</v>
      </c>
      <c r="H236" s="1269">
        <v>3307</v>
      </c>
      <c r="I236" s="1269">
        <v>78</v>
      </c>
      <c r="J236" s="650">
        <v>249</v>
      </c>
      <c r="K236" s="650">
        <v>327</v>
      </c>
    </row>
    <row r="237" spans="1:11" ht="20.100000000000001" customHeight="1">
      <c r="A237" s="1267" t="s">
        <v>1435</v>
      </c>
      <c r="B237" s="1276" t="s">
        <v>259</v>
      </c>
      <c r="C237" s="1276" t="s">
        <v>8</v>
      </c>
      <c r="D237" s="1267" t="s">
        <v>119</v>
      </c>
      <c r="E237" s="1267" t="s">
        <v>124</v>
      </c>
      <c r="F237" s="1267" t="s">
        <v>266</v>
      </c>
      <c r="G237" s="1269">
        <v>1000</v>
      </c>
      <c r="H237" s="1269">
        <v>5991</v>
      </c>
      <c r="I237" s="1269">
        <v>95</v>
      </c>
      <c r="J237" s="650">
        <v>294</v>
      </c>
      <c r="K237" s="650">
        <v>389</v>
      </c>
    </row>
    <row r="238" spans="1:11" ht="20.100000000000001" customHeight="1">
      <c r="A238" s="1267" t="s">
        <v>1436</v>
      </c>
      <c r="B238" s="1276" t="s">
        <v>259</v>
      </c>
      <c r="C238" s="1276" t="s">
        <v>8</v>
      </c>
      <c r="D238" s="1267" t="s">
        <v>119</v>
      </c>
      <c r="E238" s="1267" t="s">
        <v>124</v>
      </c>
      <c r="F238" s="1267" t="s">
        <v>266</v>
      </c>
      <c r="G238" s="1269">
        <v>1000</v>
      </c>
      <c r="H238" s="1269">
        <v>5603</v>
      </c>
      <c r="I238" s="1269">
        <v>153</v>
      </c>
      <c r="J238" s="650">
        <v>294</v>
      </c>
      <c r="K238" s="650">
        <v>447</v>
      </c>
    </row>
    <row r="239" spans="1:11" ht="20.100000000000001" customHeight="1">
      <c r="A239" s="1267" t="s">
        <v>1133</v>
      </c>
      <c r="B239" s="1276" t="s">
        <v>259</v>
      </c>
      <c r="C239" s="1276" t="s">
        <v>8</v>
      </c>
      <c r="D239" s="1267" t="s">
        <v>133</v>
      </c>
      <c r="E239" s="1267" t="s">
        <v>134</v>
      </c>
      <c r="F239" s="1267" t="s">
        <v>268</v>
      </c>
      <c r="G239" s="1269">
        <v>880</v>
      </c>
      <c r="H239" s="1269">
        <v>6532</v>
      </c>
      <c r="I239" s="1269">
        <v>0</v>
      </c>
      <c r="J239" s="650">
        <v>0</v>
      </c>
      <c r="K239" s="650">
        <v>359</v>
      </c>
    </row>
    <row r="240" spans="1:11" ht="20.100000000000001" customHeight="1">
      <c r="A240" s="1267" t="s">
        <v>269</v>
      </c>
      <c r="B240" s="1276" t="s">
        <v>259</v>
      </c>
      <c r="C240" s="1276" t="s">
        <v>8</v>
      </c>
      <c r="D240" s="1267" t="s">
        <v>133</v>
      </c>
      <c r="E240" s="1267" t="s">
        <v>134</v>
      </c>
      <c r="F240" s="1267" t="s">
        <v>261</v>
      </c>
      <c r="G240" s="1269">
        <v>440</v>
      </c>
      <c r="H240" s="1269">
        <v>1368</v>
      </c>
      <c r="I240" s="1269">
        <v>0</v>
      </c>
      <c r="J240" s="650">
        <v>0</v>
      </c>
      <c r="K240" s="650">
        <v>265</v>
      </c>
    </row>
    <row r="241" spans="1:11" ht="20.100000000000001" customHeight="1">
      <c r="A241" s="1267" t="s">
        <v>838</v>
      </c>
      <c r="B241" s="1276" t="s">
        <v>259</v>
      </c>
      <c r="C241" s="1276" t="s">
        <v>8</v>
      </c>
      <c r="D241" s="1267" t="s">
        <v>133</v>
      </c>
      <c r="E241" s="1267" t="s">
        <v>134</v>
      </c>
      <c r="F241" s="1267" t="s">
        <v>261</v>
      </c>
      <c r="G241" s="1269">
        <v>2000</v>
      </c>
      <c r="H241" s="1269">
        <v>5562</v>
      </c>
      <c r="I241" s="1269">
        <v>0</v>
      </c>
      <c r="J241" s="650">
        <v>0</v>
      </c>
      <c r="K241" s="650">
        <v>413</v>
      </c>
    </row>
    <row r="242" spans="1:11" ht="25.5" customHeight="1">
      <c r="A242" s="927" t="s">
        <v>556</v>
      </c>
      <c r="B242" s="1273" t="s">
        <v>259</v>
      </c>
      <c r="C242" s="1273" t="s">
        <v>474</v>
      </c>
      <c r="D242" s="927" t="s">
        <v>270</v>
      </c>
      <c r="E242" s="927" t="s">
        <v>158</v>
      </c>
      <c r="F242" s="927" t="s">
        <v>266</v>
      </c>
      <c r="G242" s="652">
        <v>1260</v>
      </c>
      <c r="H242" s="652">
        <v>6911.88</v>
      </c>
      <c r="I242" s="1269">
        <v>0</v>
      </c>
      <c r="J242" s="650">
        <v>0</v>
      </c>
      <c r="K242" s="650">
        <v>529</v>
      </c>
    </row>
    <row r="243" spans="1:11" ht="27.75" customHeight="1">
      <c r="A243" s="927" t="s">
        <v>839</v>
      </c>
      <c r="B243" s="1273" t="s">
        <v>259</v>
      </c>
      <c r="C243" s="1273" t="s">
        <v>474</v>
      </c>
      <c r="D243" s="927" t="s">
        <v>270</v>
      </c>
      <c r="E243" s="927" t="s">
        <v>158</v>
      </c>
      <c r="F243" s="927" t="s">
        <v>266</v>
      </c>
      <c r="G243" s="652">
        <v>500</v>
      </c>
      <c r="H243" s="652">
        <v>2955.72</v>
      </c>
      <c r="I243" s="1269">
        <v>0</v>
      </c>
      <c r="J243" s="650">
        <v>0</v>
      </c>
      <c r="K243" s="650">
        <v>529</v>
      </c>
    </row>
    <row r="244" spans="1:11" ht="20.100000000000001" customHeight="1">
      <c r="A244" s="927" t="s">
        <v>684</v>
      </c>
      <c r="B244" s="1273" t="s">
        <v>259</v>
      </c>
      <c r="C244" s="1273" t="s">
        <v>474</v>
      </c>
      <c r="D244" s="927" t="s">
        <v>270</v>
      </c>
      <c r="E244" s="927" t="s">
        <v>158</v>
      </c>
      <c r="F244" s="927" t="s">
        <v>266</v>
      </c>
      <c r="G244" s="652">
        <v>420</v>
      </c>
      <c r="H244" s="652">
        <v>2065.36</v>
      </c>
      <c r="I244" s="652">
        <v>0</v>
      </c>
      <c r="J244" s="650">
        <v>0</v>
      </c>
      <c r="K244" s="650">
        <v>529</v>
      </c>
    </row>
    <row r="245" spans="1:11" ht="20.100000000000001" customHeight="1">
      <c r="A245" s="927" t="s">
        <v>685</v>
      </c>
      <c r="B245" s="1273" t="s">
        <v>259</v>
      </c>
      <c r="C245" s="927" t="s">
        <v>474</v>
      </c>
      <c r="D245" s="927" t="s">
        <v>270</v>
      </c>
      <c r="E245" s="927" t="s">
        <v>158</v>
      </c>
      <c r="F245" s="927" t="s">
        <v>266</v>
      </c>
      <c r="G245" s="652">
        <v>420</v>
      </c>
      <c r="H245" s="652">
        <v>1956.79</v>
      </c>
      <c r="I245" s="652">
        <v>0</v>
      </c>
      <c r="J245" s="650">
        <v>0</v>
      </c>
      <c r="K245" s="650">
        <v>529</v>
      </c>
    </row>
    <row r="246" spans="1:11" ht="20.100000000000001" customHeight="1">
      <c r="A246" s="927" t="s">
        <v>686</v>
      </c>
      <c r="B246" s="1273" t="s">
        <v>259</v>
      </c>
      <c r="C246" s="927" t="s">
        <v>474</v>
      </c>
      <c r="D246" s="927" t="s">
        <v>270</v>
      </c>
      <c r="E246" s="927" t="s">
        <v>158</v>
      </c>
      <c r="F246" s="927" t="s">
        <v>266</v>
      </c>
      <c r="G246" s="652">
        <v>210</v>
      </c>
      <c r="H246" s="652">
        <v>921.01</v>
      </c>
      <c r="I246" s="652">
        <v>0</v>
      </c>
      <c r="J246" s="650">
        <v>0</v>
      </c>
      <c r="K246" s="650">
        <v>529</v>
      </c>
    </row>
    <row r="247" spans="1:11" ht="20.100000000000001" customHeight="1">
      <c r="A247" s="930" t="s">
        <v>1437</v>
      </c>
      <c r="B247" s="1277" t="s">
        <v>259</v>
      </c>
      <c r="C247" s="930" t="s">
        <v>474</v>
      </c>
      <c r="D247" s="930" t="s">
        <v>270</v>
      </c>
      <c r="E247" s="930" t="s">
        <v>158</v>
      </c>
      <c r="F247" s="930" t="s">
        <v>266</v>
      </c>
      <c r="G247" s="1275">
        <v>600</v>
      </c>
      <c r="H247" s="1275">
        <v>1005.21</v>
      </c>
      <c r="I247" s="1275">
        <v>0</v>
      </c>
      <c r="J247" s="650">
        <v>0</v>
      </c>
      <c r="K247" s="650">
        <v>529</v>
      </c>
    </row>
    <row r="248" spans="1:11" ht="20.100000000000001" customHeight="1">
      <c r="A248" s="930" t="s">
        <v>1438</v>
      </c>
      <c r="B248" s="1277" t="s">
        <v>259</v>
      </c>
      <c r="C248" s="930" t="s">
        <v>474</v>
      </c>
      <c r="D248" s="930" t="s">
        <v>270</v>
      </c>
      <c r="E248" s="930" t="s">
        <v>108</v>
      </c>
      <c r="F248" s="930" t="s">
        <v>266</v>
      </c>
      <c r="G248" s="1275">
        <v>770</v>
      </c>
      <c r="H248" s="1275">
        <v>536.38</v>
      </c>
      <c r="I248" s="1275">
        <v>0</v>
      </c>
      <c r="J248" s="650">
        <v>0</v>
      </c>
      <c r="K248" s="650">
        <v>529</v>
      </c>
    </row>
    <row r="249" spans="1:11" ht="20.100000000000001" customHeight="1">
      <c r="A249" s="930" t="s">
        <v>271</v>
      </c>
      <c r="B249" s="1277" t="s">
        <v>259</v>
      </c>
      <c r="C249" s="930" t="s">
        <v>474</v>
      </c>
      <c r="D249" s="930" t="s">
        <v>270</v>
      </c>
      <c r="E249" s="930" t="s">
        <v>108</v>
      </c>
      <c r="F249" s="930" t="s">
        <v>266</v>
      </c>
      <c r="G249" s="1275">
        <v>240</v>
      </c>
      <c r="H249" s="1275">
        <v>462.42</v>
      </c>
      <c r="I249" s="1275">
        <v>0</v>
      </c>
      <c r="J249" s="650">
        <v>0</v>
      </c>
      <c r="K249" s="650">
        <v>529</v>
      </c>
    </row>
    <row r="250" spans="1:11" ht="20.100000000000001" customHeight="1">
      <c r="A250" s="927" t="s">
        <v>272</v>
      </c>
      <c r="B250" s="1273" t="s">
        <v>259</v>
      </c>
      <c r="C250" s="927" t="s">
        <v>474</v>
      </c>
      <c r="D250" s="927" t="s">
        <v>270</v>
      </c>
      <c r="E250" s="927" t="s">
        <v>108</v>
      </c>
      <c r="F250" s="927" t="s">
        <v>266</v>
      </c>
      <c r="G250" s="652">
        <v>460</v>
      </c>
      <c r="H250" s="652">
        <v>1075.53</v>
      </c>
      <c r="I250" s="652">
        <v>0</v>
      </c>
      <c r="J250" s="650">
        <v>0</v>
      </c>
      <c r="K250" s="650">
        <v>529</v>
      </c>
    </row>
    <row r="251" spans="1:11" ht="20.100000000000001" customHeight="1">
      <c r="A251" s="927" t="s">
        <v>594</v>
      </c>
      <c r="B251" s="1273" t="s">
        <v>259</v>
      </c>
      <c r="C251" s="927" t="s">
        <v>474</v>
      </c>
      <c r="D251" s="927" t="s">
        <v>270</v>
      </c>
      <c r="E251" s="927" t="s">
        <v>108</v>
      </c>
      <c r="F251" s="927" t="s">
        <v>266</v>
      </c>
      <c r="G251" s="652">
        <v>25</v>
      </c>
      <c r="H251" s="652">
        <v>76.25</v>
      </c>
      <c r="I251" s="652">
        <v>0</v>
      </c>
      <c r="J251" s="650">
        <v>0</v>
      </c>
      <c r="K251" s="650">
        <v>529</v>
      </c>
    </row>
    <row r="252" spans="1:11" ht="29.25" customHeight="1">
      <c r="A252" s="1267" t="s">
        <v>557</v>
      </c>
      <c r="B252" s="1276" t="s">
        <v>259</v>
      </c>
      <c r="C252" s="927" t="s">
        <v>474</v>
      </c>
      <c r="D252" s="1267" t="s">
        <v>270</v>
      </c>
      <c r="E252" s="932" t="s">
        <v>108</v>
      </c>
      <c r="F252" s="1267" t="s">
        <v>266</v>
      </c>
      <c r="G252" s="1269">
        <v>20</v>
      </c>
      <c r="H252" s="1269">
        <v>1.19</v>
      </c>
      <c r="I252" s="1269">
        <v>0</v>
      </c>
      <c r="J252" s="650">
        <v>0</v>
      </c>
      <c r="K252" s="650">
        <v>529</v>
      </c>
    </row>
    <row r="253" spans="1:11" ht="20.100000000000001" customHeight="1">
      <c r="A253" s="1267" t="s">
        <v>558</v>
      </c>
      <c r="B253" s="1276" t="s">
        <v>259</v>
      </c>
      <c r="C253" s="927" t="s">
        <v>474</v>
      </c>
      <c r="D253" s="1267" t="s">
        <v>270</v>
      </c>
      <c r="E253" s="932" t="s">
        <v>108</v>
      </c>
      <c r="F253" s="1267" t="s">
        <v>266</v>
      </c>
      <c r="G253" s="1269">
        <v>1</v>
      </c>
      <c r="H253" s="1269">
        <v>2.29</v>
      </c>
      <c r="I253" s="1269">
        <v>0</v>
      </c>
      <c r="J253" s="650">
        <v>0</v>
      </c>
      <c r="K253" s="650">
        <v>529</v>
      </c>
    </row>
    <row r="254" spans="1:11" ht="20.100000000000001" customHeight="1">
      <c r="A254" s="927" t="s">
        <v>559</v>
      </c>
      <c r="B254" s="1273" t="s">
        <v>259</v>
      </c>
      <c r="C254" s="927" t="s">
        <v>474</v>
      </c>
      <c r="D254" s="927" t="s">
        <v>270</v>
      </c>
      <c r="E254" s="927" t="s">
        <v>108</v>
      </c>
      <c r="F254" s="927" t="s">
        <v>345</v>
      </c>
      <c r="G254" s="652">
        <v>120</v>
      </c>
      <c r="H254" s="652">
        <v>297.77</v>
      </c>
      <c r="I254" s="652">
        <v>0</v>
      </c>
      <c r="J254" s="650">
        <v>0</v>
      </c>
      <c r="K254" s="650">
        <v>529</v>
      </c>
    </row>
    <row r="255" spans="1:11" ht="20.100000000000001" customHeight="1">
      <c r="A255" s="927" t="s">
        <v>1135</v>
      </c>
      <c r="B255" s="1273" t="s">
        <v>259</v>
      </c>
      <c r="C255" s="927" t="s">
        <v>474</v>
      </c>
      <c r="D255" s="927" t="s">
        <v>270</v>
      </c>
      <c r="E255" s="927" t="s">
        <v>108</v>
      </c>
      <c r="F255" s="927" t="s">
        <v>266</v>
      </c>
      <c r="G255" s="652">
        <v>50</v>
      </c>
      <c r="H255" s="652">
        <v>48.4</v>
      </c>
      <c r="I255" s="652">
        <v>0</v>
      </c>
      <c r="J255" s="650">
        <v>0</v>
      </c>
      <c r="K255" s="650">
        <v>529</v>
      </c>
    </row>
    <row r="256" spans="1:11" ht="30.75" customHeight="1">
      <c r="A256" s="927" t="s">
        <v>840</v>
      </c>
      <c r="B256" s="1273" t="s">
        <v>259</v>
      </c>
      <c r="C256" s="927" t="s">
        <v>474</v>
      </c>
      <c r="D256" s="927" t="s">
        <v>270</v>
      </c>
      <c r="E256" s="927" t="s">
        <v>108</v>
      </c>
      <c r="F256" s="927" t="s">
        <v>266</v>
      </c>
      <c r="G256" s="652">
        <v>90</v>
      </c>
      <c r="H256" s="652">
        <v>99.97</v>
      </c>
      <c r="I256" s="652">
        <v>0</v>
      </c>
      <c r="J256" s="650">
        <v>0</v>
      </c>
      <c r="K256" s="650">
        <v>529</v>
      </c>
    </row>
    <row r="257" spans="1:11" ht="30.75" customHeight="1">
      <c r="A257" s="927" t="s">
        <v>687</v>
      </c>
      <c r="B257" s="1273" t="s">
        <v>259</v>
      </c>
      <c r="C257" s="927" t="s">
        <v>474</v>
      </c>
      <c r="D257" s="927" t="s">
        <v>270</v>
      </c>
      <c r="E257" s="927" t="s">
        <v>108</v>
      </c>
      <c r="F257" s="927" t="s">
        <v>268</v>
      </c>
      <c r="G257" s="652">
        <v>72</v>
      </c>
      <c r="H257" s="652">
        <v>112.69</v>
      </c>
      <c r="I257" s="652">
        <v>0</v>
      </c>
      <c r="J257" s="650">
        <v>0</v>
      </c>
      <c r="K257" s="650">
        <v>529</v>
      </c>
    </row>
    <row r="258" spans="1:11" ht="30.75" customHeight="1">
      <c r="A258" s="927" t="s">
        <v>688</v>
      </c>
      <c r="B258" s="1273" t="s">
        <v>259</v>
      </c>
      <c r="C258" s="927" t="s">
        <v>474</v>
      </c>
      <c r="D258" s="927" t="s">
        <v>595</v>
      </c>
      <c r="E258" s="927" t="s">
        <v>158</v>
      </c>
      <c r="F258" s="927" t="s">
        <v>593</v>
      </c>
      <c r="G258" s="652">
        <v>500</v>
      </c>
      <c r="H258" s="652">
        <v>3411.18</v>
      </c>
      <c r="I258" s="652">
        <v>83</v>
      </c>
      <c r="J258" s="650">
        <v>282</v>
      </c>
      <c r="K258" s="650">
        <v>365</v>
      </c>
    </row>
    <row r="259" spans="1:11" ht="30.75" customHeight="1">
      <c r="A259" s="927" t="s">
        <v>689</v>
      </c>
      <c r="B259" s="1273" t="s">
        <v>259</v>
      </c>
      <c r="C259" s="927" t="s">
        <v>474</v>
      </c>
      <c r="D259" s="927" t="s">
        <v>595</v>
      </c>
      <c r="E259" s="927" t="s">
        <v>158</v>
      </c>
      <c r="F259" s="927" t="s">
        <v>593</v>
      </c>
      <c r="G259" s="652">
        <v>500</v>
      </c>
      <c r="H259" s="652">
        <v>3555.76</v>
      </c>
      <c r="I259" s="652">
        <v>141</v>
      </c>
      <c r="J259" s="650">
        <v>313</v>
      </c>
      <c r="K259" s="650">
        <v>454</v>
      </c>
    </row>
    <row r="260" spans="1:11" ht="20.100000000000001" customHeight="1">
      <c r="A260" s="927" t="s">
        <v>1439</v>
      </c>
      <c r="B260" s="1273" t="s">
        <v>259</v>
      </c>
      <c r="C260" s="927" t="s">
        <v>474</v>
      </c>
      <c r="D260" s="927" t="s">
        <v>595</v>
      </c>
      <c r="E260" s="927" t="s">
        <v>158</v>
      </c>
      <c r="F260" s="927" t="s">
        <v>593</v>
      </c>
      <c r="G260" s="652">
        <v>800</v>
      </c>
      <c r="H260" s="652">
        <v>1570.03</v>
      </c>
      <c r="I260" s="652">
        <v>106</v>
      </c>
      <c r="J260" s="650">
        <v>292</v>
      </c>
      <c r="K260" s="650">
        <v>398</v>
      </c>
    </row>
    <row r="261" spans="1:11" ht="20.100000000000001" customHeight="1">
      <c r="A261" s="1267" t="s">
        <v>690</v>
      </c>
      <c r="B261" s="1276" t="s">
        <v>259</v>
      </c>
      <c r="C261" s="1267" t="s">
        <v>474</v>
      </c>
      <c r="D261" s="1267" t="s">
        <v>595</v>
      </c>
      <c r="E261" s="1267" t="s">
        <v>158</v>
      </c>
      <c r="F261" s="1267" t="s">
        <v>593</v>
      </c>
      <c r="G261" s="1269">
        <v>500</v>
      </c>
      <c r="H261" s="1269">
        <v>3680.68</v>
      </c>
      <c r="I261" s="1269">
        <v>142</v>
      </c>
      <c r="J261" s="650">
        <v>334</v>
      </c>
      <c r="K261" s="650">
        <v>476</v>
      </c>
    </row>
    <row r="262" spans="1:11" ht="24" customHeight="1">
      <c r="A262" s="1267" t="s">
        <v>691</v>
      </c>
      <c r="B262" s="1276" t="s">
        <v>259</v>
      </c>
      <c r="C262" s="1267" t="s">
        <v>474</v>
      </c>
      <c r="D262" s="1267" t="s">
        <v>595</v>
      </c>
      <c r="E262" s="1267" t="s">
        <v>158</v>
      </c>
      <c r="F262" s="1267" t="s">
        <v>593</v>
      </c>
      <c r="G262" s="1269">
        <v>600</v>
      </c>
      <c r="H262" s="1269">
        <v>3640.57</v>
      </c>
      <c r="I262" s="1269">
        <v>171</v>
      </c>
      <c r="J262" s="650">
        <v>292</v>
      </c>
      <c r="K262" s="650">
        <v>463</v>
      </c>
    </row>
    <row r="263" spans="1:11" ht="20.100000000000001" customHeight="1">
      <c r="A263" s="927" t="s">
        <v>1440</v>
      </c>
      <c r="B263" s="1273" t="s">
        <v>259</v>
      </c>
      <c r="C263" s="927" t="s">
        <v>474</v>
      </c>
      <c r="D263" s="927" t="s">
        <v>595</v>
      </c>
      <c r="E263" s="927" t="s">
        <v>158</v>
      </c>
      <c r="F263" s="927" t="s">
        <v>593</v>
      </c>
      <c r="G263" s="652">
        <v>616.38</v>
      </c>
      <c r="H263" s="652">
        <v>3186.3</v>
      </c>
      <c r="I263" s="651">
        <v>140</v>
      </c>
      <c r="J263" s="650">
        <v>320</v>
      </c>
      <c r="K263" s="650">
        <v>460</v>
      </c>
    </row>
    <row r="264" spans="1:11" ht="20.100000000000001" customHeight="1">
      <c r="A264" s="1267" t="s">
        <v>1441</v>
      </c>
      <c r="B264" s="1273" t="s">
        <v>259</v>
      </c>
      <c r="C264" s="927" t="s">
        <v>474</v>
      </c>
      <c r="D264" s="927" t="s">
        <v>595</v>
      </c>
      <c r="E264" s="927" t="s">
        <v>158</v>
      </c>
      <c r="F264" s="927" t="s">
        <v>593</v>
      </c>
      <c r="G264" s="652">
        <v>62.5</v>
      </c>
      <c r="H264" s="652">
        <v>369.55</v>
      </c>
      <c r="I264" s="652">
        <v>144</v>
      </c>
      <c r="J264" s="650">
        <v>294</v>
      </c>
      <c r="K264" s="650">
        <v>438</v>
      </c>
    </row>
    <row r="265" spans="1:11" ht="20.100000000000001" customHeight="1">
      <c r="A265" s="1267" t="s">
        <v>841</v>
      </c>
      <c r="B265" s="1273" t="s">
        <v>259</v>
      </c>
      <c r="C265" s="927" t="s">
        <v>474</v>
      </c>
      <c r="D265" s="927" t="s">
        <v>273</v>
      </c>
      <c r="E265" s="927" t="s">
        <v>124</v>
      </c>
      <c r="F265" s="927" t="s">
        <v>268</v>
      </c>
      <c r="G265" s="652">
        <v>1470</v>
      </c>
      <c r="H265" s="652">
        <v>6905.41</v>
      </c>
      <c r="I265" s="652">
        <v>0</v>
      </c>
      <c r="J265" s="650">
        <v>0</v>
      </c>
      <c r="K265" s="650">
        <v>478</v>
      </c>
    </row>
    <row r="266" spans="1:11" ht="20.100000000000001" customHeight="1">
      <c r="A266" s="1267" t="s">
        <v>842</v>
      </c>
      <c r="B266" s="1273" t="s">
        <v>259</v>
      </c>
      <c r="C266" s="927" t="s">
        <v>474</v>
      </c>
      <c r="D266" s="927" t="s">
        <v>273</v>
      </c>
      <c r="E266" s="927" t="s">
        <v>124</v>
      </c>
      <c r="F266" s="927" t="s">
        <v>268</v>
      </c>
      <c r="G266" s="652">
        <v>250</v>
      </c>
      <c r="H266" s="652">
        <v>1159.97</v>
      </c>
      <c r="I266" s="652">
        <v>0</v>
      </c>
      <c r="J266" s="650">
        <v>0</v>
      </c>
      <c r="K266" s="650">
        <v>535</v>
      </c>
    </row>
    <row r="267" spans="1:11" ht="20.100000000000001" customHeight="1">
      <c r="A267" s="1267" t="s">
        <v>843</v>
      </c>
      <c r="B267" s="1273" t="s">
        <v>259</v>
      </c>
      <c r="C267" s="927" t="s">
        <v>474</v>
      </c>
      <c r="D267" s="927" t="s">
        <v>273</v>
      </c>
      <c r="E267" s="927" t="s">
        <v>124</v>
      </c>
      <c r="F267" s="927" t="s">
        <v>268</v>
      </c>
      <c r="G267" s="652">
        <v>500</v>
      </c>
      <c r="H267" s="652">
        <v>1635.14</v>
      </c>
      <c r="I267" s="652">
        <v>0</v>
      </c>
      <c r="J267" s="650">
        <v>0</v>
      </c>
      <c r="K267" s="650">
        <v>611</v>
      </c>
    </row>
    <row r="268" spans="1:11" ht="20.100000000000001" customHeight="1">
      <c r="A268" s="1267" t="s">
        <v>844</v>
      </c>
      <c r="B268" s="1273" t="s">
        <v>259</v>
      </c>
      <c r="C268" s="927" t="s">
        <v>474</v>
      </c>
      <c r="D268" s="927" t="s">
        <v>273</v>
      </c>
      <c r="E268" s="927" t="s">
        <v>124</v>
      </c>
      <c r="F268" s="927" t="s">
        <v>268</v>
      </c>
      <c r="G268" s="652">
        <v>500</v>
      </c>
      <c r="H268" s="652">
        <v>1844.45</v>
      </c>
      <c r="I268" s="652">
        <v>0</v>
      </c>
      <c r="J268" s="650">
        <v>0</v>
      </c>
      <c r="K268" s="650">
        <v>632</v>
      </c>
    </row>
    <row r="269" spans="1:11" ht="20.100000000000001" customHeight="1">
      <c r="A269" s="1267" t="s">
        <v>845</v>
      </c>
      <c r="B269" s="1273" t="s">
        <v>259</v>
      </c>
      <c r="C269" s="927" t="s">
        <v>474</v>
      </c>
      <c r="D269" s="927" t="s">
        <v>273</v>
      </c>
      <c r="E269" s="927" t="s">
        <v>108</v>
      </c>
      <c r="F269" s="927" t="s">
        <v>268</v>
      </c>
      <c r="G269" s="652">
        <v>39.200000000000003</v>
      </c>
      <c r="H269" s="652">
        <v>58.68</v>
      </c>
      <c r="I269" s="652">
        <v>0</v>
      </c>
      <c r="J269" s="650">
        <v>0</v>
      </c>
      <c r="K269" s="650">
        <v>381</v>
      </c>
    </row>
    <row r="270" spans="1:11" ht="20.100000000000001" customHeight="1">
      <c r="A270" s="927" t="s">
        <v>1136</v>
      </c>
      <c r="B270" s="1273" t="s">
        <v>259</v>
      </c>
      <c r="C270" s="927" t="s">
        <v>474</v>
      </c>
      <c r="D270" s="927" t="s">
        <v>273</v>
      </c>
      <c r="E270" s="927" t="s">
        <v>108</v>
      </c>
      <c r="F270" s="927" t="s">
        <v>268</v>
      </c>
      <c r="G270" s="652">
        <v>240</v>
      </c>
      <c r="H270" s="652">
        <v>514.89</v>
      </c>
      <c r="I270" s="652">
        <v>0</v>
      </c>
      <c r="J270" s="650">
        <v>0</v>
      </c>
      <c r="K270" s="650">
        <v>164</v>
      </c>
    </row>
    <row r="271" spans="1:11" ht="20.100000000000001" customHeight="1">
      <c r="A271" s="1267" t="s">
        <v>846</v>
      </c>
      <c r="B271" s="1273" t="s">
        <v>259</v>
      </c>
      <c r="C271" s="927" t="s">
        <v>474</v>
      </c>
      <c r="D271" s="927" t="s">
        <v>273</v>
      </c>
      <c r="E271" s="927" t="s">
        <v>108</v>
      </c>
      <c r="F271" s="927" t="s">
        <v>268</v>
      </c>
      <c r="G271" s="652">
        <v>32</v>
      </c>
      <c r="H271" s="652">
        <v>79.27</v>
      </c>
      <c r="I271" s="652">
        <v>0</v>
      </c>
      <c r="J271" s="650">
        <v>0</v>
      </c>
      <c r="K271" s="650">
        <v>208</v>
      </c>
    </row>
    <row r="272" spans="1:11" ht="20.100000000000001" customHeight="1">
      <c r="A272" s="927" t="s">
        <v>275</v>
      </c>
      <c r="B272" s="1273" t="s">
        <v>259</v>
      </c>
      <c r="C272" s="927" t="s">
        <v>474</v>
      </c>
      <c r="D272" s="927" t="s">
        <v>273</v>
      </c>
      <c r="E272" s="927" t="s">
        <v>108</v>
      </c>
      <c r="F272" s="927" t="s">
        <v>268</v>
      </c>
      <c r="G272" s="652">
        <v>150</v>
      </c>
      <c r="H272" s="652">
        <v>362.13</v>
      </c>
      <c r="I272" s="652">
        <v>0</v>
      </c>
      <c r="J272" s="650">
        <v>0</v>
      </c>
      <c r="K272" s="650">
        <v>209</v>
      </c>
    </row>
    <row r="273" spans="1:11" ht="20.100000000000001" customHeight="1">
      <c r="A273" s="927" t="s">
        <v>1442</v>
      </c>
      <c r="B273" s="927" t="s">
        <v>259</v>
      </c>
      <c r="C273" s="927" t="s">
        <v>474</v>
      </c>
      <c r="D273" s="1269" t="s">
        <v>273</v>
      </c>
      <c r="E273" s="927" t="s">
        <v>108</v>
      </c>
      <c r="F273" s="650" t="s">
        <v>268</v>
      </c>
      <c r="G273" s="651">
        <v>900</v>
      </c>
      <c r="H273" s="651">
        <v>3316.58</v>
      </c>
      <c r="I273" s="651">
        <v>0</v>
      </c>
      <c r="J273" s="650">
        <v>0</v>
      </c>
      <c r="K273" s="650">
        <v>64</v>
      </c>
    </row>
    <row r="274" spans="1:11" ht="20.100000000000001" customHeight="1">
      <c r="A274" s="927" t="s">
        <v>847</v>
      </c>
      <c r="B274" s="927" t="s">
        <v>259</v>
      </c>
      <c r="C274" s="927" t="s">
        <v>474</v>
      </c>
      <c r="D274" s="1269" t="s">
        <v>273</v>
      </c>
      <c r="E274" s="927" t="s">
        <v>108</v>
      </c>
      <c r="F274" s="650" t="s">
        <v>268</v>
      </c>
      <c r="G274" s="651">
        <v>120</v>
      </c>
      <c r="H274" s="651">
        <v>330.6</v>
      </c>
      <c r="I274" s="651">
        <v>0</v>
      </c>
      <c r="J274" s="650">
        <v>0</v>
      </c>
      <c r="K274" s="650">
        <v>153</v>
      </c>
    </row>
    <row r="275" spans="1:11" ht="24.75" customHeight="1">
      <c r="A275" s="927" t="s">
        <v>1443</v>
      </c>
      <c r="B275" s="927" t="s">
        <v>259</v>
      </c>
      <c r="C275" s="927" t="s">
        <v>474</v>
      </c>
      <c r="D275" s="1269" t="s">
        <v>273</v>
      </c>
      <c r="E275" s="927" t="s">
        <v>108</v>
      </c>
      <c r="F275" s="650" t="s">
        <v>268</v>
      </c>
      <c r="G275" s="651">
        <v>236.4</v>
      </c>
      <c r="H275" s="651">
        <v>564.20000000000005</v>
      </c>
      <c r="I275" s="651">
        <v>0</v>
      </c>
      <c r="J275" s="650">
        <v>0</v>
      </c>
      <c r="K275" s="650">
        <v>95</v>
      </c>
    </row>
    <row r="276" spans="1:11" ht="25.5" customHeight="1">
      <c r="A276" s="927" t="s">
        <v>1137</v>
      </c>
      <c r="B276" s="927" t="s">
        <v>259</v>
      </c>
      <c r="C276" s="927" t="s">
        <v>474</v>
      </c>
      <c r="D276" s="927" t="s">
        <v>273</v>
      </c>
      <c r="E276" s="927" t="s">
        <v>108</v>
      </c>
      <c r="F276" s="927" t="s">
        <v>268</v>
      </c>
      <c r="G276" s="652">
        <v>1090</v>
      </c>
      <c r="H276" s="652">
        <v>4974.29</v>
      </c>
      <c r="I276" s="652">
        <v>0</v>
      </c>
      <c r="J276" s="650">
        <v>0</v>
      </c>
      <c r="K276" s="650">
        <v>42</v>
      </c>
    </row>
    <row r="277" spans="1:11" ht="20.100000000000001" customHeight="1">
      <c r="A277" s="927" t="s">
        <v>848</v>
      </c>
      <c r="B277" s="927" t="s">
        <v>259</v>
      </c>
      <c r="C277" s="927" t="s">
        <v>474</v>
      </c>
      <c r="D277" s="927" t="s">
        <v>273</v>
      </c>
      <c r="E277" s="927" t="s">
        <v>108</v>
      </c>
      <c r="F277" s="927" t="s">
        <v>268</v>
      </c>
      <c r="G277" s="652">
        <v>290</v>
      </c>
      <c r="H277" s="652">
        <v>400.93</v>
      </c>
      <c r="I277" s="652">
        <v>0</v>
      </c>
      <c r="J277" s="650">
        <v>0</v>
      </c>
      <c r="K277" s="650">
        <v>178</v>
      </c>
    </row>
    <row r="278" spans="1:11" ht="20.100000000000001" customHeight="1">
      <c r="A278" s="927" t="s">
        <v>849</v>
      </c>
      <c r="B278" s="927" t="s">
        <v>259</v>
      </c>
      <c r="C278" s="927" t="s">
        <v>474</v>
      </c>
      <c r="D278" s="927" t="s">
        <v>273</v>
      </c>
      <c r="E278" s="927" t="s">
        <v>108</v>
      </c>
      <c r="F278" s="927" t="s">
        <v>268</v>
      </c>
      <c r="G278" s="652">
        <v>460</v>
      </c>
      <c r="H278" s="652">
        <v>1255.1400000000001</v>
      </c>
      <c r="I278" s="652">
        <v>0</v>
      </c>
      <c r="J278" s="650">
        <v>0</v>
      </c>
      <c r="K278" s="650">
        <v>100</v>
      </c>
    </row>
    <row r="279" spans="1:11" ht="24" customHeight="1">
      <c r="A279" s="927" t="s">
        <v>1138</v>
      </c>
      <c r="B279" s="927" t="s">
        <v>259</v>
      </c>
      <c r="C279" s="927" t="s">
        <v>474</v>
      </c>
      <c r="D279" s="927" t="s">
        <v>273</v>
      </c>
      <c r="E279" s="927" t="s">
        <v>108</v>
      </c>
      <c r="F279" s="927" t="s">
        <v>268</v>
      </c>
      <c r="G279" s="652">
        <v>2.4</v>
      </c>
      <c r="H279" s="652">
        <v>0.71419999999999995</v>
      </c>
      <c r="I279" s="652">
        <v>0</v>
      </c>
      <c r="J279" s="650">
        <v>0</v>
      </c>
      <c r="K279" s="650">
        <v>340</v>
      </c>
    </row>
    <row r="280" spans="1:11" ht="20.100000000000001" customHeight="1">
      <c r="A280" s="927" t="s">
        <v>276</v>
      </c>
      <c r="B280" s="927" t="s">
        <v>259</v>
      </c>
      <c r="C280" s="927" t="s">
        <v>474</v>
      </c>
      <c r="D280" s="927" t="s">
        <v>277</v>
      </c>
      <c r="E280" s="927" t="s">
        <v>108</v>
      </c>
      <c r="F280" s="927" t="s">
        <v>264</v>
      </c>
      <c r="G280" s="652">
        <v>75</v>
      </c>
      <c r="H280" s="652">
        <v>345.096</v>
      </c>
      <c r="I280" s="652">
        <v>0</v>
      </c>
      <c r="J280" s="650">
        <v>0</v>
      </c>
      <c r="K280" s="650">
        <v>62</v>
      </c>
    </row>
    <row r="281" spans="1:11" ht="20.100000000000001" customHeight="1">
      <c r="A281" s="927" t="s">
        <v>278</v>
      </c>
      <c r="B281" s="927" t="s">
        <v>259</v>
      </c>
      <c r="C281" s="927" t="s">
        <v>474</v>
      </c>
      <c r="D281" s="927" t="s">
        <v>277</v>
      </c>
      <c r="E281" s="927" t="s">
        <v>108</v>
      </c>
      <c r="F281" s="927" t="s">
        <v>264</v>
      </c>
      <c r="G281" s="652">
        <v>780</v>
      </c>
      <c r="H281" s="652">
        <v>2911.3009999999999</v>
      </c>
      <c r="I281" s="652">
        <v>0</v>
      </c>
      <c r="J281" s="650">
        <v>0</v>
      </c>
      <c r="K281" s="650">
        <v>62</v>
      </c>
    </row>
    <row r="282" spans="1:11" ht="20.100000000000001" customHeight="1">
      <c r="A282" s="927" t="s">
        <v>279</v>
      </c>
      <c r="B282" s="927" t="s">
        <v>259</v>
      </c>
      <c r="C282" s="927" t="s">
        <v>474</v>
      </c>
      <c r="D282" s="927" t="s">
        <v>277</v>
      </c>
      <c r="E282" s="927" t="s">
        <v>108</v>
      </c>
      <c r="F282" s="927" t="s">
        <v>264</v>
      </c>
      <c r="G282" s="652">
        <v>50</v>
      </c>
      <c r="H282" s="652">
        <v>220.77099999999999</v>
      </c>
      <c r="I282" s="652">
        <v>0</v>
      </c>
      <c r="J282" s="650">
        <v>0</v>
      </c>
      <c r="K282" s="650">
        <v>62</v>
      </c>
    </row>
    <row r="283" spans="1:11" ht="20.100000000000001" customHeight="1">
      <c r="A283" s="927" t="s">
        <v>280</v>
      </c>
      <c r="B283" s="927" t="s">
        <v>259</v>
      </c>
      <c r="C283" s="927" t="s">
        <v>474</v>
      </c>
      <c r="D283" s="927" t="s">
        <v>277</v>
      </c>
      <c r="E283" s="927" t="s">
        <v>108</v>
      </c>
      <c r="F283" s="927" t="s">
        <v>264</v>
      </c>
      <c r="G283" s="652">
        <v>15</v>
      </c>
      <c r="H283" s="652">
        <v>68.224999999999994</v>
      </c>
      <c r="I283" s="652">
        <v>0</v>
      </c>
      <c r="J283" s="650">
        <v>0</v>
      </c>
      <c r="K283" s="650">
        <v>62</v>
      </c>
    </row>
    <row r="284" spans="1:11" ht="20.100000000000001" customHeight="1">
      <c r="A284" s="927" t="s">
        <v>596</v>
      </c>
      <c r="B284" s="927" t="s">
        <v>259</v>
      </c>
      <c r="C284" s="927" t="s">
        <v>474</v>
      </c>
      <c r="D284" s="927" t="s">
        <v>277</v>
      </c>
      <c r="E284" s="927" t="s">
        <v>108</v>
      </c>
      <c r="F284" s="927" t="s">
        <v>264</v>
      </c>
      <c r="G284" s="652">
        <v>225</v>
      </c>
      <c r="H284" s="652">
        <v>690.40899999999999</v>
      </c>
      <c r="I284" s="652">
        <v>0</v>
      </c>
      <c r="J284" s="650">
        <v>0</v>
      </c>
      <c r="K284" s="650">
        <v>62</v>
      </c>
    </row>
    <row r="285" spans="1:11" ht="20.100000000000001" customHeight="1">
      <c r="A285" s="927" t="s">
        <v>597</v>
      </c>
      <c r="B285" s="927" t="s">
        <v>259</v>
      </c>
      <c r="C285" s="927" t="s">
        <v>474</v>
      </c>
      <c r="D285" s="927" t="s">
        <v>277</v>
      </c>
      <c r="E285" s="927" t="s">
        <v>108</v>
      </c>
      <c r="F285" s="927" t="s">
        <v>264</v>
      </c>
      <c r="G285" s="652">
        <v>3.75</v>
      </c>
      <c r="H285" s="652">
        <v>8.3379999999999992</v>
      </c>
      <c r="I285" s="652">
        <v>0</v>
      </c>
      <c r="J285" s="650">
        <v>0</v>
      </c>
      <c r="K285" s="650">
        <v>62</v>
      </c>
    </row>
    <row r="286" spans="1:11" ht="20.100000000000001" customHeight="1">
      <c r="A286" s="927" t="s">
        <v>281</v>
      </c>
      <c r="B286" s="927" t="s">
        <v>259</v>
      </c>
      <c r="C286" s="927" t="s">
        <v>474</v>
      </c>
      <c r="D286" s="927" t="s">
        <v>277</v>
      </c>
      <c r="E286" s="927" t="s">
        <v>108</v>
      </c>
      <c r="F286" s="927" t="s">
        <v>264</v>
      </c>
      <c r="G286" s="652">
        <v>180</v>
      </c>
      <c r="H286" s="652">
        <v>522.35</v>
      </c>
      <c r="I286" s="652">
        <v>0</v>
      </c>
      <c r="J286" s="650">
        <v>0</v>
      </c>
      <c r="K286" s="650">
        <v>62</v>
      </c>
    </row>
    <row r="287" spans="1:11" ht="20.100000000000001" customHeight="1">
      <c r="A287" s="927" t="s">
        <v>282</v>
      </c>
      <c r="B287" s="927" t="s">
        <v>259</v>
      </c>
      <c r="C287" s="927" t="s">
        <v>474</v>
      </c>
      <c r="D287" s="927" t="s">
        <v>277</v>
      </c>
      <c r="E287" s="927" t="s">
        <v>108</v>
      </c>
      <c r="F287" s="927" t="s">
        <v>264</v>
      </c>
      <c r="G287" s="652">
        <v>10.5</v>
      </c>
      <c r="H287" s="652">
        <v>32.932000000000002</v>
      </c>
      <c r="I287" s="652">
        <v>0</v>
      </c>
      <c r="J287" s="650">
        <v>0</v>
      </c>
      <c r="K287" s="650">
        <v>62</v>
      </c>
    </row>
    <row r="288" spans="1:11" ht="20.100000000000001" customHeight="1">
      <c r="A288" s="927" t="s">
        <v>850</v>
      </c>
      <c r="B288" s="927" t="s">
        <v>259</v>
      </c>
      <c r="C288" s="927" t="s">
        <v>474</v>
      </c>
      <c r="D288" s="927" t="s">
        <v>277</v>
      </c>
      <c r="E288" s="927" t="s">
        <v>108</v>
      </c>
      <c r="F288" s="927" t="s">
        <v>264</v>
      </c>
      <c r="G288" s="652">
        <v>2</v>
      </c>
      <c r="H288" s="652">
        <v>1.611</v>
      </c>
      <c r="I288" s="652">
        <v>0</v>
      </c>
      <c r="J288" s="650">
        <v>0</v>
      </c>
      <c r="K288" s="650">
        <v>62</v>
      </c>
    </row>
    <row r="289" spans="1:11" ht="20.100000000000001" customHeight="1">
      <c r="A289" s="650" t="s">
        <v>598</v>
      </c>
      <c r="B289" s="927" t="s">
        <v>259</v>
      </c>
      <c r="C289" s="927" t="s">
        <v>474</v>
      </c>
      <c r="D289" s="927" t="s">
        <v>277</v>
      </c>
      <c r="E289" s="650" t="s">
        <v>108</v>
      </c>
      <c r="F289" s="650" t="s">
        <v>264</v>
      </c>
      <c r="G289" s="651">
        <v>2.5</v>
      </c>
      <c r="H289" s="651">
        <v>4.1449999999999996</v>
      </c>
      <c r="I289" s="651">
        <v>0</v>
      </c>
      <c r="J289" s="650">
        <v>0</v>
      </c>
      <c r="K289" s="650">
        <v>62</v>
      </c>
    </row>
    <row r="290" spans="1:11" ht="20.100000000000001" customHeight="1">
      <c r="A290" s="650" t="s">
        <v>1139</v>
      </c>
      <c r="B290" s="927" t="s">
        <v>259</v>
      </c>
      <c r="C290" s="927" t="s">
        <v>474</v>
      </c>
      <c r="D290" s="927" t="s">
        <v>277</v>
      </c>
      <c r="E290" s="650" t="s">
        <v>108</v>
      </c>
      <c r="F290" s="650" t="s">
        <v>264</v>
      </c>
      <c r="G290" s="651">
        <v>2.7</v>
      </c>
      <c r="H290" s="651">
        <v>3.0609999999999999</v>
      </c>
      <c r="I290" s="651">
        <v>0</v>
      </c>
      <c r="J290" s="650">
        <v>0</v>
      </c>
      <c r="K290" s="650">
        <v>62</v>
      </c>
    </row>
    <row r="291" spans="1:11" ht="20.100000000000001" customHeight="1">
      <c r="A291" s="650" t="s">
        <v>1140</v>
      </c>
      <c r="B291" s="927" t="s">
        <v>259</v>
      </c>
      <c r="C291" s="927" t="s">
        <v>474</v>
      </c>
      <c r="D291" s="927" t="s">
        <v>277</v>
      </c>
      <c r="E291" s="650" t="s">
        <v>108</v>
      </c>
      <c r="F291" s="650" t="s">
        <v>264</v>
      </c>
      <c r="G291" s="651">
        <v>3.75</v>
      </c>
      <c r="H291" s="651">
        <v>4.008</v>
      </c>
      <c r="I291" s="651">
        <v>0</v>
      </c>
      <c r="J291" s="650">
        <v>0</v>
      </c>
      <c r="K291" s="650">
        <v>62</v>
      </c>
    </row>
    <row r="292" spans="1:11" ht="20.100000000000001" customHeight="1">
      <c r="A292" s="650" t="s">
        <v>1141</v>
      </c>
      <c r="B292" s="927" t="s">
        <v>259</v>
      </c>
      <c r="C292" s="927" t="s">
        <v>474</v>
      </c>
      <c r="D292" s="927" t="s">
        <v>277</v>
      </c>
      <c r="E292" s="650" t="s">
        <v>108</v>
      </c>
      <c r="F292" s="650" t="s">
        <v>264</v>
      </c>
      <c r="G292" s="651">
        <v>3.75</v>
      </c>
      <c r="H292" s="651">
        <v>4.82</v>
      </c>
      <c r="I292" s="651">
        <v>0</v>
      </c>
      <c r="J292" s="650">
        <v>0</v>
      </c>
      <c r="K292" s="650">
        <v>62</v>
      </c>
    </row>
    <row r="293" spans="1:11" ht="20.100000000000001" customHeight="1">
      <c r="A293" s="650" t="s">
        <v>1142</v>
      </c>
      <c r="B293" s="927" t="s">
        <v>259</v>
      </c>
      <c r="C293" s="927" t="s">
        <v>474</v>
      </c>
      <c r="D293" s="927" t="s">
        <v>277</v>
      </c>
      <c r="E293" s="650" t="s">
        <v>108</v>
      </c>
      <c r="F293" s="650" t="s">
        <v>264</v>
      </c>
      <c r="G293" s="651">
        <v>2.4</v>
      </c>
      <c r="H293" s="651">
        <v>1.986</v>
      </c>
      <c r="I293" s="651">
        <v>0</v>
      </c>
      <c r="J293" s="650">
        <v>0</v>
      </c>
      <c r="K293" s="650">
        <v>62</v>
      </c>
    </row>
    <row r="294" spans="1:11" ht="20.100000000000001" customHeight="1">
      <c r="A294" s="650" t="s">
        <v>599</v>
      </c>
      <c r="B294" s="927" t="s">
        <v>259</v>
      </c>
      <c r="C294" s="927" t="s">
        <v>474</v>
      </c>
      <c r="D294" s="927" t="s">
        <v>277</v>
      </c>
      <c r="E294" s="650" t="s">
        <v>108</v>
      </c>
      <c r="F294" s="650" t="s">
        <v>264</v>
      </c>
      <c r="G294" s="651">
        <v>3.5</v>
      </c>
      <c r="H294" s="651">
        <v>6.0179999999999998</v>
      </c>
      <c r="I294" s="651">
        <v>0</v>
      </c>
      <c r="J294" s="650">
        <v>0</v>
      </c>
      <c r="K294" s="650">
        <v>62</v>
      </c>
    </row>
    <row r="295" spans="1:11" ht="20.100000000000001" customHeight="1">
      <c r="A295" s="650" t="s">
        <v>1143</v>
      </c>
      <c r="B295" s="927" t="s">
        <v>259</v>
      </c>
      <c r="C295" s="927" t="s">
        <v>474</v>
      </c>
      <c r="D295" s="927" t="s">
        <v>277</v>
      </c>
      <c r="E295" s="650" t="s">
        <v>108</v>
      </c>
      <c r="F295" s="650" t="s">
        <v>264</v>
      </c>
      <c r="G295" s="651">
        <v>77.650000000000006</v>
      </c>
      <c r="H295" s="651">
        <v>377.01</v>
      </c>
      <c r="I295" s="651">
        <v>0</v>
      </c>
      <c r="J295" s="650">
        <v>0</v>
      </c>
      <c r="K295" s="650">
        <v>62</v>
      </c>
    </row>
    <row r="296" spans="1:11" ht="20.100000000000001" customHeight="1">
      <c r="A296" s="650" t="s">
        <v>283</v>
      </c>
      <c r="B296" s="927" t="s">
        <v>259</v>
      </c>
      <c r="C296" s="927" t="s">
        <v>474</v>
      </c>
      <c r="D296" s="927" t="s">
        <v>277</v>
      </c>
      <c r="E296" s="650" t="s">
        <v>108</v>
      </c>
      <c r="F296" s="650" t="s">
        <v>264</v>
      </c>
      <c r="G296" s="651">
        <v>37.5</v>
      </c>
      <c r="H296" s="651">
        <v>184.74299999999999</v>
      </c>
      <c r="I296" s="651">
        <v>0</v>
      </c>
      <c r="J296" s="650">
        <v>0</v>
      </c>
      <c r="K296" s="650">
        <v>62</v>
      </c>
    </row>
    <row r="297" spans="1:11" ht="20.100000000000001" customHeight="1">
      <c r="A297" s="650" t="s">
        <v>284</v>
      </c>
      <c r="B297" s="927" t="s">
        <v>259</v>
      </c>
      <c r="C297" s="927" t="s">
        <v>474</v>
      </c>
      <c r="D297" s="927" t="s">
        <v>277</v>
      </c>
      <c r="E297" s="650" t="s">
        <v>108</v>
      </c>
      <c r="F297" s="650" t="s">
        <v>264</v>
      </c>
      <c r="G297" s="651">
        <v>32.4</v>
      </c>
      <c r="H297" s="651">
        <v>114.499</v>
      </c>
      <c r="I297" s="651">
        <v>0</v>
      </c>
      <c r="J297" s="650">
        <v>0</v>
      </c>
      <c r="K297" s="650">
        <v>62</v>
      </c>
    </row>
    <row r="298" spans="1:11" ht="20.100000000000001" customHeight="1">
      <c r="A298" s="650" t="s">
        <v>600</v>
      </c>
      <c r="B298" s="927" t="s">
        <v>259</v>
      </c>
      <c r="C298" s="927" t="s">
        <v>474</v>
      </c>
      <c r="D298" s="927" t="s">
        <v>277</v>
      </c>
      <c r="E298" s="650" t="s">
        <v>108</v>
      </c>
      <c r="F298" s="650" t="s">
        <v>264</v>
      </c>
      <c r="G298" s="651">
        <v>36</v>
      </c>
      <c r="H298" s="651">
        <v>191.82599999999999</v>
      </c>
      <c r="I298" s="651">
        <v>0</v>
      </c>
      <c r="J298" s="650">
        <v>0</v>
      </c>
      <c r="K298" s="650">
        <v>62</v>
      </c>
    </row>
    <row r="299" spans="1:11" ht="20.100000000000001" customHeight="1">
      <c r="A299" s="650" t="s">
        <v>601</v>
      </c>
      <c r="B299" s="927" t="s">
        <v>259</v>
      </c>
      <c r="C299" s="927" t="s">
        <v>474</v>
      </c>
      <c r="D299" s="927" t="s">
        <v>277</v>
      </c>
      <c r="E299" s="650" t="s">
        <v>108</v>
      </c>
      <c r="F299" s="650" t="s">
        <v>264</v>
      </c>
      <c r="G299" s="651">
        <v>3</v>
      </c>
      <c r="H299" s="651">
        <v>8.1929999999999996</v>
      </c>
      <c r="I299" s="651">
        <v>0</v>
      </c>
      <c r="J299" s="650">
        <v>0</v>
      </c>
      <c r="K299" s="650">
        <v>62</v>
      </c>
    </row>
    <row r="300" spans="1:11" ht="20.100000000000001" customHeight="1">
      <c r="A300" s="927" t="s">
        <v>602</v>
      </c>
      <c r="B300" s="927" t="s">
        <v>259</v>
      </c>
      <c r="C300" s="927" t="s">
        <v>474</v>
      </c>
      <c r="D300" s="927" t="s">
        <v>277</v>
      </c>
      <c r="E300" s="927" t="s">
        <v>108</v>
      </c>
      <c r="F300" s="927" t="s">
        <v>264</v>
      </c>
      <c r="G300" s="652">
        <v>4.8</v>
      </c>
      <c r="H300" s="652">
        <v>7.5149999999999997</v>
      </c>
      <c r="I300" s="652">
        <v>0</v>
      </c>
      <c r="J300" s="650">
        <v>0</v>
      </c>
      <c r="K300" s="650">
        <v>62</v>
      </c>
    </row>
    <row r="301" spans="1:11" ht="20.100000000000001" customHeight="1">
      <c r="A301" s="927" t="s">
        <v>603</v>
      </c>
      <c r="B301" s="927" t="s">
        <v>259</v>
      </c>
      <c r="C301" s="927" t="s">
        <v>474</v>
      </c>
      <c r="D301" s="927" t="s">
        <v>277</v>
      </c>
      <c r="E301" s="927" t="s">
        <v>108</v>
      </c>
      <c r="F301" s="927" t="s">
        <v>264</v>
      </c>
      <c r="G301" s="652">
        <v>1.25</v>
      </c>
      <c r="H301" s="652">
        <v>2.431</v>
      </c>
      <c r="I301" s="652">
        <v>0</v>
      </c>
      <c r="J301" s="650">
        <v>0</v>
      </c>
      <c r="K301" s="650">
        <v>62</v>
      </c>
    </row>
    <row r="302" spans="1:11" ht="20.100000000000001" customHeight="1">
      <c r="A302" s="927" t="s">
        <v>604</v>
      </c>
      <c r="B302" s="927" t="s">
        <v>259</v>
      </c>
      <c r="C302" s="927" t="s">
        <v>474</v>
      </c>
      <c r="D302" s="927" t="s">
        <v>277</v>
      </c>
      <c r="E302" s="927" t="s">
        <v>108</v>
      </c>
      <c r="F302" s="927" t="s">
        <v>264</v>
      </c>
      <c r="G302" s="652">
        <v>4</v>
      </c>
      <c r="H302" s="652">
        <v>3.5990000000000002</v>
      </c>
      <c r="I302" s="652">
        <v>0</v>
      </c>
      <c r="J302" s="650">
        <v>0</v>
      </c>
      <c r="K302" s="650">
        <v>62</v>
      </c>
    </row>
    <row r="303" spans="1:11" ht="20.100000000000001" customHeight="1">
      <c r="A303" s="927" t="s">
        <v>285</v>
      </c>
      <c r="B303" s="927" t="s">
        <v>259</v>
      </c>
      <c r="C303" s="927" t="s">
        <v>474</v>
      </c>
      <c r="D303" s="927" t="s">
        <v>277</v>
      </c>
      <c r="E303" s="927" t="s">
        <v>108</v>
      </c>
      <c r="F303" s="927" t="s">
        <v>264</v>
      </c>
      <c r="G303" s="652">
        <v>340</v>
      </c>
      <c r="H303" s="652">
        <v>1509.402</v>
      </c>
      <c r="I303" s="652">
        <v>0</v>
      </c>
      <c r="J303" s="650">
        <v>0</v>
      </c>
      <c r="K303" s="650">
        <v>62</v>
      </c>
    </row>
    <row r="304" spans="1:11" ht="20.100000000000001" customHeight="1">
      <c r="A304" s="927" t="s">
        <v>286</v>
      </c>
      <c r="B304" s="927" t="s">
        <v>259</v>
      </c>
      <c r="C304" s="927" t="s">
        <v>474</v>
      </c>
      <c r="D304" s="1269" t="s">
        <v>277</v>
      </c>
      <c r="E304" s="932" t="s">
        <v>108</v>
      </c>
      <c r="F304" s="650" t="s">
        <v>264</v>
      </c>
      <c r="G304" s="651">
        <v>51.2</v>
      </c>
      <c r="H304" s="651">
        <v>116.861</v>
      </c>
      <c r="I304" s="651">
        <v>0</v>
      </c>
      <c r="J304" s="650">
        <v>0</v>
      </c>
      <c r="K304" s="650">
        <v>62</v>
      </c>
    </row>
    <row r="305" spans="1:11" ht="20.100000000000001" customHeight="1">
      <c r="A305" s="927" t="s">
        <v>287</v>
      </c>
      <c r="B305" s="927" t="s">
        <v>259</v>
      </c>
      <c r="C305" s="927" t="s">
        <v>474</v>
      </c>
      <c r="D305" s="1269" t="s">
        <v>277</v>
      </c>
      <c r="E305" s="932" t="s">
        <v>108</v>
      </c>
      <c r="F305" s="650" t="s">
        <v>264</v>
      </c>
      <c r="G305" s="651">
        <v>54</v>
      </c>
      <c r="H305" s="651">
        <v>200.614</v>
      </c>
      <c r="I305" s="651">
        <v>0</v>
      </c>
      <c r="J305" s="650">
        <v>0</v>
      </c>
      <c r="K305" s="650">
        <v>62</v>
      </c>
    </row>
    <row r="306" spans="1:11" ht="20.100000000000001" customHeight="1">
      <c r="A306" s="927" t="s">
        <v>605</v>
      </c>
      <c r="B306" s="927" t="s">
        <v>259</v>
      </c>
      <c r="C306" s="927" t="s">
        <v>474</v>
      </c>
      <c r="D306" s="1269" t="s">
        <v>277</v>
      </c>
      <c r="E306" s="932" t="s">
        <v>108</v>
      </c>
      <c r="F306" s="650" t="s">
        <v>264</v>
      </c>
      <c r="G306" s="651">
        <v>7.5</v>
      </c>
      <c r="H306" s="651">
        <v>7.7460000000000004</v>
      </c>
      <c r="I306" s="651">
        <v>0</v>
      </c>
      <c r="J306" s="650">
        <v>0</v>
      </c>
      <c r="K306" s="650">
        <v>62</v>
      </c>
    </row>
    <row r="307" spans="1:11" ht="20.100000000000001" customHeight="1">
      <c r="A307" s="927" t="s">
        <v>851</v>
      </c>
      <c r="B307" s="927" t="s">
        <v>259</v>
      </c>
      <c r="C307" s="927" t="s">
        <v>474</v>
      </c>
      <c r="D307" s="1269" t="s">
        <v>277</v>
      </c>
      <c r="E307" s="932" t="s">
        <v>108</v>
      </c>
      <c r="F307" s="650" t="s">
        <v>264</v>
      </c>
      <c r="G307" s="651">
        <v>15</v>
      </c>
      <c r="H307" s="651">
        <v>1.1299999999999999</v>
      </c>
      <c r="I307" s="651">
        <v>0</v>
      </c>
      <c r="J307" s="650">
        <v>0</v>
      </c>
      <c r="K307" s="650">
        <v>62</v>
      </c>
    </row>
    <row r="308" spans="1:11" ht="20.100000000000001" customHeight="1">
      <c r="A308" s="927" t="s">
        <v>852</v>
      </c>
      <c r="B308" s="927" t="s">
        <v>259</v>
      </c>
      <c r="C308" s="927" t="s">
        <v>474</v>
      </c>
      <c r="D308" s="1269" t="s">
        <v>277</v>
      </c>
      <c r="E308" s="932" t="s">
        <v>108</v>
      </c>
      <c r="F308" s="650" t="s">
        <v>264</v>
      </c>
      <c r="G308" s="651">
        <v>3.6</v>
      </c>
      <c r="H308" s="651">
        <v>2.6930000000000001</v>
      </c>
      <c r="I308" s="651">
        <v>0</v>
      </c>
      <c r="J308" s="650">
        <v>0</v>
      </c>
      <c r="K308" s="650">
        <v>62</v>
      </c>
    </row>
    <row r="309" spans="1:11" ht="20.100000000000001" customHeight="1">
      <c r="A309" s="927" t="s">
        <v>1144</v>
      </c>
      <c r="B309" s="927" t="s">
        <v>259</v>
      </c>
      <c r="C309" s="927" t="s">
        <v>474</v>
      </c>
      <c r="D309" s="1269" t="s">
        <v>277</v>
      </c>
      <c r="E309" s="927" t="s">
        <v>108</v>
      </c>
      <c r="F309" s="650" t="s">
        <v>264</v>
      </c>
      <c r="G309" s="651">
        <v>2.5</v>
      </c>
      <c r="H309" s="651">
        <v>6.6429999999999998</v>
      </c>
      <c r="I309" s="651">
        <v>0</v>
      </c>
      <c r="J309" s="650">
        <v>0</v>
      </c>
      <c r="K309" s="650">
        <v>62</v>
      </c>
    </row>
    <row r="310" spans="1:11" ht="20.100000000000001" customHeight="1">
      <c r="A310" s="927" t="s">
        <v>853</v>
      </c>
      <c r="B310" s="927" t="s">
        <v>259</v>
      </c>
      <c r="C310" s="927" t="s">
        <v>474</v>
      </c>
      <c r="D310" s="1269" t="s">
        <v>277</v>
      </c>
      <c r="E310" s="927" t="s">
        <v>108</v>
      </c>
      <c r="F310" s="650" t="s">
        <v>264</v>
      </c>
      <c r="G310" s="651">
        <v>3.5</v>
      </c>
      <c r="H310" s="651">
        <v>0.307</v>
      </c>
      <c r="I310" s="651">
        <v>0</v>
      </c>
      <c r="J310" s="650">
        <v>0</v>
      </c>
      <c r="K310" s="650">
        <v>62</v>
      </c>
    </row>
    <row r="311" spans="1:11" ht="20.100000000000001" customHeight="1">
      <c r="A311" s="927" t="s">
        <v>1145</v>
      </c>
      <c r="B311" s="927" t="s">
        <v>259</v>
      </c>
      <c r="C311" s="927" t="s">
        <v>474</v>
      </c>
      <c r="D311" s="1269" t="s">
        <v>277</v>
      </c>
      <c r="E311" s="927" t="s">
        <v>108</v>
      </c>
      <c r="F311" s="650" t="s">
        <v>264</v>
      </c>
      <c r="G311" s="651">
        <v>6</v>
      </c>
      <c r="H311" s="651">
        <v>7.6719999999999997</v>
      </c>
      <c r="I311" s="651">
        <v>0</v>
      </c>
      <c r="J311" s="650">
        <v>0</v>
      </c>
      <c r="K311" s="650">
        <v>62</v>
      </c>
    </row>
    <row r="312" spans="1:11" ht="20.100000000000001" customHeight="1">
      <c r="A312" s="927" t="s">
        <v>1444</v>
      </c>
      <c r="B312" s="927" t="s">
        <v>259</v>
      </c>
      <c r="C312" s="927" t="s">
        <v>474</v>
      </c>
      <c r="D312" s="1269" t="s">
        <v>277</v>
      </c>
      <c r="E312" s="927" t="s">
        <v>108</v>
      </c>
      <c r="F312" s="650" t="s">
        <v>264</v>
      </c>
      <c r="G312" s="651">
        <v>1.0999999999999999E-2</v>
      </c>
      <c r="H312" s="651">
        <v>6.2E-2</v>
      </c>
      <c r="I312" s="651">
        <v>0</v>
      </c>
      <c r="J312" s="650">
        <v>0</v>
      </c>
      <c r="K312" s="650">
        <v>62</v>
      </c>
    </row>
    <row r="313" spans="1:11" ht="20.100000000000001" customHeight="1">
      <c r="A313" s="927" t="s">
        <v>1445</v>
      </c>
      <c r="B313" s="927" t="s">
        <v>259</v>
      </c>
      <c r="C313" s="927" t="s">
        <v>474</v>
      </c>
      <c r="D313" s="1269" t="s">
        <v>277</v>
      </c>
      <c r="E313" s="927" t="s">
        <v>108</v>
      </c>
      <c r="F313" s="650" t="s">
        <v>264</v>
      </c>
      <c r="G313" s="651">
        <v>3</v>
      </c>
      <c r="H313" s="651">
        <v>2.5790000000000002</v>
      </c>
      <c r="I313" s="651">
        <v>0</v>
      </c>
      <c r="J313" s="650">
        <v>0</v>
      </c>
      <c r="K313" s="650">
        <v>62</v>
      </c>
    </row>
    <row r="314" spans="1:11" ht="20.100000000000001" customHeight="1">
      <c r="A314" s="927" t="s">
        <v>1446</v>
      </c>
      <c r="B314" s="927" t="s">
        <v>259</v>
      </c>
      <c r="C314" s="927" t="s">
        <v>10</v>
      </c>
      <c r="D314" s="1269" t="s">
        <v>277</v>
      </c>
      <c r="E314" s="927" t="s">
        <v>108</v>
      </c>
      <c r="F314" s="650" t="s">
        <v>264</v>
      </c>
      <c r="G314" s="651">
        <v>8</v>
      </c>
      <c r="H314" s="651">
        <v>7.0000000000000007E-2</v>
      </c>
      <c r="I314" s="651">
        <v>0</v>
      </c>
      <c r="J314" s="650">
        <v>0</v>
      </c>
      <c r="K314" s="650">
        <v>349</v>
      </c>
    </row>
    <row r="315" spans="1:11" ht="20.100000000000001" customHeight="1">
      <c r="A315" s="927" t="s">
        <v>1146</v>
      </c>
      <c r="B315" s="927" t="s">
        <v>259</v>
      </c>
      <c r="C315" s="927" t="s">
        <v>10</v>
      </c>
      <c r="D315" s="1269" t="s">
        <v>277</v>
      </c>
      <c r="E315" s="927" t="s">
        <v>108</v>
      </c>
      <c r="F315" s="927" t="s">
        <v>264</v>
      </c>
      <c r="G315" s="651">
        <v>7</v>
      </c>
      <c r="H315" s="651">
        <v>10.75</v>
      </c>
      <c r="I315" s="651">
        <v>0</v>
      </c>
      <c r="J315" s="650">
        <v>0</v>
      </c>
      <c r="K315" s="650">
        <v>244</v>
      </c>
    </row>
    <row r="316" spans="1:11" ht="20.100000000000001" customHeight="1">
      <c r="A316" s="927" t="s">
        <v>1147</v>
      </c>
      <c r="B316" s="927" t="s">
        <v>259</v>
      </c>
      <c r="C316" s="927" t="s">
        <v>10</v>
      </c>
      <c r="D316" s="1269" t="s">
        <v>277</v>
      </c>
      <c r="E316" s="927" t="s">
        <v>108</v>
      </c>
      <c r="F316" s="650" t="s">
        <v>264</v>
      </c>
      <c r="G316" s="651">
        <v>4.5</v>
      </c>
      <c r="H316" s="651">
        <v>10.51</v>
      </c>
      <c r="I316" s="651">
        <v>0</v>
      </c>
      <c r="J316" s="650">
        <v>0</v>
      </c>
      <c r="K316" s="650">
        <v>270</v>
      </c>
    </row>
    <row r="317" spans="1:11" ht="20.100000000000001" customHeight="1">
      <c r="A317" s="927" t="s">
        <v>1148</v>
      </c>
      <c r="B317" s="927" t="s">
        <v>259</v>
      </c>
      <c r="C317" s="927" t="s">
        <v>10</v>
      </c>
      <c r="D317" s="1269" t="s">
        <v>277</v>
      </c>
      <c r="E317" s="927" t="s">
        <v>108</v>
      </c>
      <c r="F317" s="650" t="s">
        <v>264</v>
      </c>
      <c r="G317" s="651">
        <v>10.5</v>
      </c>
      <c r="H317" s="651">
        <v>45.78</v>
      </c>
      <c r="I317" s="651">
        <v>0</v>
      </c>
      <c r="J317" s="650">
        <v>0</v>
      </c>
      <c r="K317" s="650">
        <v>416</v>
      </c>
    </row>
    <row r="318" spans="1:11" ht="20.100000000000001" customHeight="1">
      <c r="A318" s="927" t="s">
        <v>1149</v>
      </c>
      <c r="B318" s="927" t="s">
        <v>259</v>
      </c>
      <c r="C318" s="927" t="s">
        <v>10</v>
      </c>
      <c r="D318" s="1269" t="s">
        <v>277</v>
      </c>
      <c r="E318" s="927" t="s">
        <v>108</v>
      </c>
      <c r="F318" s="927" t="s">
        <v>264</v>
      </c>
      <c r="G318" s="1268">
        <v>3</v>
      </c>
      <c r="H318" s="651">
        <v>7.41</v>
      </c>
      <c r="I318" s="651">
        <v>0</v>
      </c>
      <c r="J318" s="650">
        <v>0</v>
      </c>
      <c r="K318" s="650">
        <v>488</v>
      </c>
    </row>
    <row r="319" spans="1:11" ht="20.100000000000001" customHeight="1">
      <c r="A319" s="927" t="s">
        <v>674</v>
      </c>
      <c r="B319" s="927" t="s">
        <v>259</v>
      </c>
      <c r="C319" s="927" t="s">
        <v>8</v>
      </c>
      <c r="D319" s="1269" t="s">
        <v>288</v>
      </c>
      <c r="E319" s="932" t="s">
        <v>274</v>
      </c>
      <c r="F319" s="650" t="s">
        <v>289</v>
      </c>
      <c r="G319" s="651">
        <v>3.4</v>
      </c>
      <c r="H319" s="651">
        <v>7.5246446799999998</v>
      </c>
      <c r="I319" s="652">
        <v>0</v>
      </c>
      <c r="J319" s="650">
        <v>0</v>
      </c>
      <c r="K319" s="650">
        <v>562.22</v>
      </c>
    </row>
    <row r="320" spans="1:11" ht="20.100000000000001" customHeight="1">
      <c r="A320" s="927" t="s">
        <v>675</v>
      </c>
      <c r="B320" s="927" t="s">
        <v>259</v>
      </c>
      <c r="C320" s="927" t="s">
        <v>8</v>
      </c>
      <c r="D320" s="1269" t="s">
        <v>288</v>
      </c>
      <c r="E320" s="932" t="s">
        <v>274</v>
      </c>
      <c r="F320" s="650" t="s">
        <v>289</v>
      </c>
      <c r="G320" s="651">
        <v>3.2</v>
      </c>
      <c r="H320" s="651">
        <v>12.52830316</v>
      </c>
      <c r="I320" s="651">
        <v>0</v>
      </c>
      <c r="J320" s="650">
        <v>0</v>
      </c>
      <c r="K320" s="650">
        <v>562.22</v>
      </c>
    </row>
    <row r="321" spans="1:11" ht="20.100000000000001" customHeight="1">
      <c r="A321" s="927" t="s">
        <v>676</v>
      </c>
      <c r="B321" s="927" t="s">
        <v>259</v>
      </c>
      <c r="C321" s="927" t="s">
        <v>8</v>
      </c>
      <c r="D321" s="1269" t="s">
        <v>288</v>
      </c>
      <c r="E321" s="932" t="s">
        <v>274</v>
      </c>
      <c r="F321" s="650" t="s">
        <v>289</v>
      </c>
      <c r="G321" s="651">
        <v>2.65</v>
      </c>
      <c r="H321" s="651">
        <v>5.1355819399999998</v>
      </c>
      <c r="I321" s="651">
        <v>0</v>
      </c>
      <c r="J321" s="650">
        <v>0</v>
      </c>
      <c r="K321" s="650">
        <v>562.22</v>
      </c>
    </row>
    <row r="322" spans="1:11" ht="20.100000000000001" customHeight="1">
      <c r="A322" s="927" t="s">
        <v>677</v>
      </c>
      <c r="B322" s="927" t="s">
        <v>259</v>
      </c>
      <c r="C322" s="927" t="s">
        <v>8</v>
      </c>
      <c r="D322" s="1269" t="s">
        <v>288</v>
      </c>
      <c r="E322" s="932" t="s">
        <v>274</v>
      </c>
      <c r="F322" s="650" t="s">
        <v>289</v>
      </c>
      <c r="G322" s="651">
        <v>2.9</v>
      </c>
      <c r="H322" s="651">
        <v>7.9413030600000001</v>
      </c>
      <c r="I322" s="651">
        <v>0</v>
      </c>
      <c r="J322" s="650">
        <v>0</v>
      </c>
      <c r="K322" s="650">
        <v>562.22</v>
      </c>
    </row>
    <row r="323" spans="1:11" ht="20.100000000000001" customHeight="1">
      <c r="A323" s="927" t="s">
        <v>678</v>
      </c>
      <c r="B323" s="927" t="s">
        <v>259</v>
      </c>
      <c r="C323" s="927" t="s">
        <v>8</v>
      </c>
      <c r="D323" s="1269" t="s">
        <v>288</v>
      </c>
      <c r="E323" s="932" t="s">
        <v>274</v>
      </c>
      <c r="F323" s="650" t="s">
        <v>289</v>
      </c>
      <c r="G323" s="651">
        <v>1.75</v>
      </c>
      <c r="H323" s="651">
        <v>3.6765890300000001</v>
      </c>
      <c r="I323" s="651">
        <v>0</v>
      </c>
      <c r="J323" s="650">
        <v>0</v>
      </c>
      <c r="K323" s="650">
        <v>562.22</v>
      </c>
    </row>
    <row r="324" spans="1:11" ht="20.100000000000001" customHeight="1">
      <c r="A324" s="927" t="s">
        <v>1447</v>
      </c>
      <c r="B324" s="927" t="s">
        <v>259</v>
      </c>
      <c r="C324" s="927" t="s">
        <v>8</v>
      </c>
      <c r="D324" s="1269" t="s">
        <v>288</v>
      </c>
      <c r="E324" s="932" t="s">
        <v>274</v>
      </c>
      <c r="F324" s="650" t="s">
        <v>289</v>
      </c>
      <c r="G324" s="651">
        <v>2.65</v>
      </c>
      <c r="H324" s="651">
        <v>7.2381420199999997</v>
      </c>
      <c r="I324" s="651">
        <v>0</v>
      </c>
      <c r="J324" s="650">
        <v>0</v>
      </c>
      <c r="K324" s="650">
        <v>562.22</v>
      </c>
    </row>
    <row r="325" spans="1:11" ht="20.100000000000001" customHeight="1">
      <c r="A325" s="927" t="s">
        <v>679</v>
      </c>
      <c r="B325" s="927" t="s">
        <v>259</v>
      </c>
      <c r="C325" s="927" t="s">
        <v>8</v>
      </c>
      <c r="D325" s="927" t="s">
        <v>288</v>
      </c>
      <c r="E325" s="927" t="s">
        <v>274</v>
      </c>
      <c r="F325" s="927" t="s">
        <v>289</v>
      </c>
      <c r="G325" s="652">
        <v>1.9</v>
      </c>
      <c r="H325" s="652">
        <v>3.9473729999999998</v>
      </c>
      <c r="I325" s="651">
        <v>0</v>
      </c>
      <c r="J325" s="650">
        <v>0</v>
      </c>
      <c r="K325" s="650">
        <v>562.22</v>
      </c>
    </row>
    <row r="326" spans="1:11" ht="20.100000000000001" customHeight="1">
      <c r="A326" s="927" t="s">
        <v>680</v>
      </c>
      <c r="B326" s="927" t="s">
        <v>259</v>
      </c>
      <c r="C326" s="927" t="s">
        <v>8</v>
      </c>
      <c r="D326" s="927" t="s">
        <v>288</v>
      </c>
      <c r="E326" s="927" t="s">
        <v>274</v>
      </c>
      <c r="F326" s="927" t="s">
        <v>289</v>
      </c>
      <c r="G326" s="652">
        <v>1.68</v>
      </c>
      <c r="H326" s="652">
        <v>3.0963916999999999</v>
      </c>
      <c r="I326" s="651">
        <v>0</v>
      </c>
      <c r="J326" s="650">
        <v>0</v>
      </c>
      <c r="K326" s="650">
        <v>562.22</v>
      </c>
    </row>
    <row r="327" spans="1:11" ht="20.100000000000001" customHeight="1">
      <c r="A327" s="927" t="s">
        <v>681</v>
      </c>
      <c r="B327" s="927" t="s">
        <v>259</v>
      </c>
      <c r="C327" s="927" t="s">
        <v>8</v>
      </c>
      <c r="D327" s="927" t="s">
        <v>288</v>
      </c>
      <c r="E327" s="927" t="s">
        <v>274</v>
      </c>
      <c r="F327" s="927" t="s">
        <v>289</v>
      </c>
      <c r="G327" s="652">
        <v>1</v>
      </c>
      <c r="H327" s="652">
        <v>1.5576724799999999</v>
      </c>
      <c r="I327" s="651">
        <v>0</v>
      </c>
      <c r="J327" s="650">
        <v>0</v>
      </c>
      <c r="K327" s="650">
        <v>562.22</v>
      </c>
    </row>
    <row r="328" spans="1:11" ht="20.100000000000001" customHeight="1">
      <c r="A328" s="927" t="s">
        <v>682</v>
      </c>
      <c r="B328" s="927" t="s">
        <v>259</v>
      </c>
      <c r="C328" s="927" t="s">
        <v>8</v>
      </c>
      <c r="D328" s="927" t="s">
        <v>288</v>
      </c>
      <c r="E328" s="927" t="s">
        <v>274</v>
      </c>
      <c r="F328" s="927" t="s">
        <v>289</v>
      </c>
      <c r="G328" s="652">
        <v>0.43</v>
      </c>
      <c r="H328" s="652">
        <v>0.23905199999999999</v>
      </c>
      <c r="I328" s="651">
        <v>0</v>
      </c>
      <c r="J328" s="650">
        <v>0</v>
      </c>
      <c r="K328" s="650">
        <v>562.22</v>
      </c>
    </row>
    <row r="329" spans="1:11" ht="20.100000000000001" customHeight="1">
      <c r="A329" s="927" t="s">
        <v>683</v>
      </c>
      <c r="B329" s="927" t="s">
        <v>259</v>
      </c>
      <c r="C329" s="927" t="s">
        <v>8</v>
      </c>
      <c r="D329" s="927" t="s">
        <v>288</v>
      </c>
      <c r="E329" s="927" t="s">
        <v>274</v>
      </c>
      <c r="F329" s="927" t="s">
        <v>289</v>
      </c>
      <c r="G329" s="652">
        <v>0.18</v>
      </c>
      <c r="H329" s="652">
        <v>0.16105800000000001</v>
      </c>
      <c r="I329" s="651">
        <v>0</v>
      </c>
      <c r="J329" s="650">
        <v>0</v>
      </c>
      <c r="K329" s="650">
        <v>562.22</v>
      </c>
    </row>
    <row r="330" spans="1:11" ht="20.100000000000001" customHeight="1">
      <c r="A330" s="927" t="s">
        <v>290</v>
      </c>
      <c r="B330" s="927" t="s">
        <v>259</v>
      </c>
      <c r="C330" s="927" t="s">
        <v>474</v>
      </c>
      <c r="D330" s="927" t="s">
        <v>606</v>
      </c>
      <c r="E330" s="927" t="s">
        <v>120</v>
      </c>
      <c r="F330" s="927" t="s">
        <v>291</v>
      </c>
      <c r="G330" s="652">
        <v>32.5</v>
      </c>
      <c r="H330" s="652">
        <v>214.173</v>
      </c>
      <c r="I330" s="651">
        <v>130</v>
      </c>
      <c r="J330" s="650">
        <v>279</v>
      </c>
      <c r="K330" s="650">
        <v>409</v>
      </c>
    </row>
    <row r="331" spans="1:11" ht="20.100000000000001" customHeight="1">
      <c r="A331" s="927" t="s">
        <v>607</v>
      </c>
      <c r="B331" s="927" t="s">
        <v>259</v>
      </c>
      <c r="C331" s="927" t="s">
        <v>474</v>
      </c>
      <c r="D331" s="927" t="s">
        <v>292</v>
      </c>
      <c r="E331" s="927" t="s">
        <v>158</v>
      </c>
      <c r="F331" s="927" t="s">
        <v>261</v>
      </c>
      <c r="G331" s="652">
        <v>840</v>
      </c>
      <c r="H331" s="652">
        <v>5314.3360000000002</v>
      </c>
      <c r="I331" s="651">
        <v>0</v>
      </c>
      <c r="J331" s="650">
        <v>0</v>
      </c>
      <c r="K331" s="650">
        <v>583.12</v>
      </c>
    </row>
    <row r="332" spans="1:11" ht="20.100000000000001" customHeight="1">
      <c r="A332" s="927" t="s">
        <v>608</v>
      </c>
      <c r="B332" s="927" t="s">
        <v>259</v>
      </c>
      <c r="C332" s="927" t="s">
        <v>474</v>
      </c>
      <c r="D332" s="927" t="s">
        <v>292</v>
      </c>
      <c r="E332" s="927" t="s">
        <v>158</v>
      </c>
      <c r="F332" s="927" t="s">
        <v>261</v>
      </c>
      <c r="G332" s="652">
        <v>600</v>
      </c>
      <c r="H332" s="652">
        <v>2934.6860000000001</v>
      </c>
      <c r="I332" s="651">
        <v>0</v>
      </c>
      <c r="J332" s="650">
        <v>0</v>
      </c>
      <c r="K332" s="650">
        <v>583.12</v>
      </c>
    </row>
    <row r="333" spans="1:11" ht="25.5" customHeight="1">
      <c r="A333" s="927" t="s">
        <v>609</v>
      </c>
      <c r="B333" s="927" t="s">
        <v>259</v>
      </c>
      <c r="C333" s="927" t="s">
        <v>474</v>
      </c>
      <c r="D333" s="927" t="s">
        <v>292</v>
      </c>
      <c r="E333" s="927" t="s">
        <v>158</v>
      </c>
      <c r="F333" s="927" t="s">
        <v>261</v>
      </c>
      <c r="G333" s="652">
        <v>630</v>
      </c>
      <c r="H333" s="652">
        <v>3632.76</v>
      </c>
      <c r="I333" s="651">
        <v>0</v>
      </c>
      <c r="J333" s="650">
        <v>0</v>
      </c>
      <c r="K333" s="650">
        <v>583.12</v>
      </c>
    </row>
    <row r="334" spans="1:11" ht="24.75" customHeight="1">
      <c r="A334" s="927" t="s">
        <v>610</v>
      </c>
      <c r="B334" s="927" t="s">
        <v>259</v>
      </c>
      <c r="C334" s="927" t="s">
        <v>474</v>
      </c>
      <c r="D334" s="927" t="s">
        <v>292</v>
      </c>
      <c r="E334" s="927" t="s">
        <v>158</v>
      </c>
      <c r="F334" s="927" t="s">
        <v>261</v>
      </c>
      <c r="G334" s="652">
        <v>1200</v>
      </c>
      <c r="H334" s="652">
        <v>6284.9160000000002</v>
      </c>
      <c r="I334" s="651">
        <v>0</v>
      </c>
      <c r="J334" s="650">
        <v>0</v>
      </c>
      <c r="K334" s="650">
        <v>583.12</v>
      </c>
    </row>
    <row r="335" spans="1:11" ht="20.100000000000001" customHeight="1">
      <c r="A335" s="927" t="s">
        <v>611</v>
      </c>
      <c r="B335" s="927" t="s">
        <v>259</v>
      </c>
      <c r="C335" s="927" t="s">
        <v>474</v>
      </c>
      <c r="D335" s="927" t="s">
        <v>292</v>
      </c>
      <c r="E335" s="927" t="s">
        <v>158</v>
      </c>
      <c r="F335" s="927" t="s">
        <v>261</v>
      </c>
      <c r="G335" s="652">
        <v>1050</v>
      </c>
      <c r="H335" s="652">
        <v>5807.8540000000003</v>
      </c>
      <c r="I335" s="651">
        <v>0</v>
      </c>
      <c r="J335" s="650">
        <v>0</v>
      </c>
      <c r="K335" s="650">
        <v>583.12</v>
      </c>
    </row>
    <row r="336" spans="1:11" ht="20.100000000000001" customHeight="1">
      <c r="A336" s="927" t="s">
        <v>293</v>
      </c>
      <c r="B336" s="927" t="s">
        <v>259</v>
      </c>
      <c r="C336" s="927" t="s">
        <v>474</v>
      </c>
      <c r="D336" s="927" t="s">
        <v>292</v>
      </c>
      <c r="E336" s="927" t="s">
        <v>120</v>
      </c>
      <c r="F336" s="927" t="s">
        <v>261</v>
      </c>
      <c r="G336" s="652">
        <v>107.88</v>
      </c>
      <c r="H336" s="652">
        <v>225.45599999999999</v>
      </c>
      <c r="I336" s="651">
        <v>0</v>
      </c>
      <c r="J336" s="650">
        <v>0</v>
      </c>
      <c r="K336" s="650">
        <v>583.12</v>
      </c>
    </row>
    <row r="337" spans="1:11" ht="20.100000000000001" customHeight="1">
      <c r="A337" s="927" t="s">
        <v>294</v>
      </c>
      <c r="B337" s="927" t="s">
        <v>259</v>
      </c>
      <c r="C337" s="927" t="s">
        <v>474</v>
      </c>
      <c r="D337" s="927" t="s">
        <v>292</v>
      </c>
      <c r="E337" s="927" t="s">
        <v>120</v>
      </c>
      <c r="F337" s="927" t="s">
        <v>261</v>
      </c>
      <c r="G337" s="652">
        <v>187.2</v>
      </c>
      <c r="H337" s="652">
        <v>1125.9469999999999</v>
      </c>
      <c r="I337" s="651">
        <v>0</v>
      </c>
      <c r="J337" s="650">
        <v>0</v>
      </c>
      <c r="K337" s="650">
        <v>583.12</v>
      </c>
    </row>
    <row r="338" spans="1:11" ht="20.100000000000001" customHeight="1">
      <c r="A338" s="930" t="s">
        <v>295</v>
      </c>
      <c r="B338" s="927" t="s">
        <v>259</v>
      </c>
      <c r="C338" s="927" t="s">
        <v>474</v>
      </c>
      <c r="D338" s="927" t="s">
        <v>292</v>
      </c>
      <c r="E338" s="927" t="s">
        <v>120</v>
      </c>
      <c r="F338" s="927" t="s">
        <v>261</v>
      </c>
      <c r="G338" s="652">
        <v>101</v>
      </c>
      <c r="H338" s="652">
        <v>367.55</v>
      </c>
      <c r="I338" s="651">
        <v>0</v>
      </c>
      <c r="J338" s="650">
        <v>0</v>
      </c>
      <c r="K338" s="650">
        <v>583.12</v>
      </c>
    </row>
    <row r="339" spans="1:11" ht="20.100000000000001" customHeight="1">
      <c r="A339" s="927" t="s">
        <v>692</v>
      </c>
      <c r="B339" s="927" t="s">
        <v>259</v>
      </c>
      <c r="C339" s="927" t="s">
        <v>474</v>
      </c>
      <c r="D339" s="927" t="s">
        <v>292</v>
      </c>
      <c r="E339" s="927" t="s">
        <v>120</v>
      </c>
      <c r="F339" s="927" t="s">
        <v>261</v>
      </c>
      <c r="G339" s="652">
        <v>120</v>
      </c>
      <c r="H339" s="652">
        <v>5.6000000000000001E-2</v>
      </c>
      <c r="I339" s="651">
        <v>0</v>
      </c>
      <c r="J339" s="650">
        <v>0</v>
      </c>
      <c r="K339" s="650">
        <v>583.12</v>
      </c>
    </row>
    <row r="340" spans="1:11" ht="20.100000000000001" customHeight="1">
      <c r="A340" s="927" t="s">
        <v>296</v>
      </c>
      <c r="B340" s="927" t="s">
        <v>259</v>
      </c>
      <c r="C340" s="927" t="s">
        <v>474</v>
      </c>
      <c r="D340" s="927" t="s">
        <v>292</v>
      </c>
      <c r="E340" s="927" t="s">
        <v>108</v>
      </c>
      <c r="F340" s="927" t="s">
        <v>261</v>
      </c>
      <c r="G340" s="652">
        <v>59.2</v>
      </c>
      <c r="H340" s="652">
        <v>21.79</v>
      </c>
      <c r="I340" s="651">
        <v>0</v>
      </c>
      <c r="J340" s="650">
        <v>0</v>
      </c>
      <c r="K340" s="650">
        <v>583.12</v>
      </c>
    </row>
    <row r="341" spans="1:11" ht="20.100000000000001" customHeight="1">
      <c r="A341" s="927" t="s">
        <v>612</v>
      </c>
      <c r="B341" s="927" t="s">
        <v>259</v>
      </c>
      <c r="C341" s="927" t="s">
        <v>474</v>
      </c>
      <c r="D341" s="927" t="s">
        <v>292</v>
      </c>
      <c r="E341" s="927" t="s">
        <v>108</v>
      </c>
      <c r="F341" s="927" t="s">
        <v>261</v>
      </c>
      <c r="G341" s="652">
        <v>2</v>
      </c>
      <c r="H341" s="652">
        <v>8.35</v>
      </c>
      <c r="I341" s="651">
        <v>0</v>
      </c>
      <c r="J341" s="650">
        <v>0</v>
      </c>
      <c r="K341" s="650">
        <v>583.12</v>
      </c>
    </row>
    <row r="342" spans="1:11" ht="20.100000000000001" customHeight="1">
      <c r="A342" s="927" t="s">
        <v>297</v>
      </c>
      <c r="B342" s="927" t="s">
        <v>259</v>
      </c>
      <c r="C342" s="927" t="s">
        <v>474</v>
      </c>
      <c r="D342" s="927" t="s">
        <v>292</v>
      </c>
      <c r="E342" s="927" t="s">
        <v>108</v>
      </c>
      <c r="F342" s="927" t="s">
        <v>261</v>
      </c>
      <c r="G342" s="652">
        <v>36</v>
      </c>
      <c r="H342" s="652">
        <v>161.48599999999999</v>
      </c>
      <c r="I342" s="652">
        <v>0</v>
      </c>
      <c r="J342" s="650">
        <v>0</v>
      </c>
      <c r="K342" s="650">
        <v>583.12</v>
      </c>
    </row>
    <row r="343" spans="1:11" ht="20.100000000000001" customHeight="1">
      <c r="A343" s="927" t="s">
        <v>298</v>
      </c>
      <c r="B343" s="927" t="s">
        <v>259</v>
      </c>
      <c r="C343" s="927" t="s">
        <v>474</v>
      </c>
      <c r="D343" s="927" t="s">
        <v>292</v>
      </c>
      <c r="E343" s="927" t="s">
        <v>108</v>
      </c>
      <c r="F343" s="927" t="s">
        <v>261</v>
      </c>
      <c r="G343" s="652">
        <v>0.75</v>
      </c>
      <c r="H343" s="652">
        <v>0.85099999999999998</v>
      </c>
      <c r="I343" s="652">
        <v>0</v>
      </c>
      <c r="J343" s="650">
        <v>0</v>
      </c>
      <c r="K343" s="650">
        <v>583.12</v>
      </c>
    </row>
    <row r="344" spans="1:11" ht="20.100000000000001" customHeight="1">
      <c r="A344" s="927" t="s">
        <v>299</v>
      </c>
      <c r="B344" s="927" t="s">
        <v>259</v>
      </c>
      <c r="C344" s="927" t="s">
        <v>474</v>
      </c>
      <c r="D344" s="927" t="s">
        <v>292</v>
      </c>
      <c r="E344" s="927" t="s">
        <v>108</v>
      </c>
      <c r="F344" s="927" t="s">
        <v>261</v>
      </c>
      <c r="G344" s="652">
        <v>60</v>
      </c>
      <c r="H344" s="652">
        <v>270.05</v>
      </c>
      <c r="I344" s="652">
        <v>0</v>
      </c>
      <c r="J344" s="650">
        <v>0</v>
      </c>
      <c r="K344" s="650">
        <v>583.12</v>
      </c>
    </row>
    <row r="345" spans="1:11" ht="20.100000000000001" customHeight="1">
      <c r="A345" s="927" t="s">
        <v>300</v>
      </c>
      <c r="B345" s="927" t="s">
        <v>259</v>
      </c>
      <c r="C345" s="927" t="s">
        <v>474</v>
      </c>
      <c r="D345" s="927" t="s">
        <v>292</v>
      </c>
      <c r="E345" s="927" t="s">
        <v>108</v>
      </c>
      <c r="F345" s="927" t="s">
        <v>261</v>
      </c>
      <c r="G345" s="652">
        <v>175</v>
      </c>
      <c r="H345" s="652">
        <v>677.90899999999999</v>
      </c>
      <c r="I345" s="652">
        <v>0</v>
      </c>
      <c r="J345" s="650">
        <v>0</v>
      </c>
      <c r="K345" s="650">
        <v>583.12</v>
      </c>
    </row>
    <row r="346" spans="1:11" ht="20.100000000000001" customHeight="1">
      <c r="A346" s="927" t="s">
        <v>301</v>
      </c>
      <c r="B346" s="927" t="s">
        <v>259</v>
      </c>
      <c r="C346" s="927" t="s">
        <v>474</v>
      </c>
      <c r="D346" s="927" t="s">
        <v>292</v>
      </c>
      <c r="E346" s="927" t="s">
        <v>108</v>
      </c>
      <c r="F346" s="927" t="s">
        <v>261</v>
      </c>
      <c r="G346" s="652">
        <v>180</v>
      </c>
      <c r="H346" s="652">
        <v>395.66399999999999</v>
      </c>
      <c r="I346" s="652">
        <v>0</v>
      </c>
      <c r="J346" s="650">
        <v>0</v>
      </c>
      <c r="K346" s="650">
        <v>583.12</v>
      </c>
    </row>
    <row r="347" spans="1:11" ht="20.100000000000001" customHeight="1">
      <c r="A347" s="927" t="s">
        <v>302</v>
      </c>
      <c r="B347" s="927" t="s">
        <v>259</v>
      </c>
      <c r="C347" s="927" t="s">
        <v>474</v>
      </c>
      <c r="D347" s="927" t="s">
        <v>292</v>
      </c>
      <c r="E347" s="927" t="s">
        <v>108</v>
      </c>
      <c r="F347" s="927" t="s">
        <v>261</v>
      </c>
      <c r="G347" s="652">
        <v>100</v>
      </c>
      <c r="H347" s="652">
        <v>148.21</v>
      </c>
      <c r="I347" s="652">
        <v>0</v>
      </c>
      <c r="J347" s="650">
        <v>0</v>
      </c>
      <c r="K347" s="650">
        <v>583.12</v>
      </c>
    </row>
    <row r="348" spans="1:11" ht="20.100000000000001" customHeight="1">
      <c r="A348" s="927" t="s">
        <v>303</v>
      </c>
      <c r="B348" s="927" t="s">
        <v>259</v>
      </c>
      <c r="C348" s="927" t="s">
        <v>474</v>
      </c>
      <c r="D348" s="927" t="s">
        <v>292</v>
      </c>
      <c r="E348" s="927" t="s">
        <v>108</v>
      </c>
      <c r="F348" s="927" t="s">
        <v>261</v>
      </c>
      <c r="G348" s="652">
        <v>40</v>
      </c>
      <c r="H348" s="652">
        <v>89.585999999999999</v>
      </c>
      <c r="I348" s="652">
        <v>0</v>
      </c>
      <c r="J348" s="650">
        <v>0</v>
      </c>
      <c r="K348" s="650">
        <v>583.12</v>
      </c>
    </row>
    <row r="349" spans="1:11" ht="24" customHeight="1">
      <c r="A349" s="927" t="s">
        <v>304</v>
      </c>
      <c r="B349" s="927" t="s">
        <v>259</v>
      </c>
      <c r="C349" s="927" t="s">
        <v>474</v>
      </c>
      <c r="D349" s="927" t="s">
        <v>292</v>
      </c>
      <c r="E349" s="927" t="s">
        <v>108</v>
      </c>
      <c r="F349" s="927" t="s">
        <v>261</v>
      </c>
      <c r="G349" s="652">
        <v>30</v>
      </c>
      <c r="H349" s="652">
        <v>45.777999999999999</v>
      </c>
      <c r="I349" s="652">
        <v>0</v>
      </c>
      <c r="J349" s="650">
        <v>0</v>
      </c>
      <c r="K349" s="650">
        <v>583.12</v>
      </c>
    </row>
    <row r="350" spans="1:11" ht="20.100000000000001" customHeight="1">
      <c r="A350" s="927" t="s">
        <v>305</v>
      </c>
      <c r="B350" s="927" t="s">
        <v>259</v>
      </c>
      <c r="C350" s="927" t="s">
        <v>474</v>
      </c>
      <c r="D350" s="927" t="s">
        <v>292</v>
      </c>
      <c r="E350" s="927" t="s">
        <v>108</v>
      </c>
      <c r="F350" s="927" t="s">
        <v>261</v>
      </c>
      <c r="G350" s="652">
        <v>50</v>
      </c>
      <c r="H350" s="652">
        <v>147.685</v>
      </c>
      <c r="I350" s="652">
        <v>0</v>
      </c>
      <c r="J350" s="650">
        <v>0</v>
      </c>
      <c r="K350" s="650">
        <v>583.12</v>
      </c>
    </row>
    <row r="351" spans="1:11" ht="20.100000000000001" customHeight="1">
      <c r="A351" s="927" t="s">
        <v>306</v>
      </c>
      <c r="B351" s="927" t="s">
        <v>259</v>
      </c>
      <c r="C351" s="927" t="s">
        <v>474</v>
      </c>
      <c r="D351" s="927" t="s">
        <v>292</v>
      </c>
      <c r="E351" s="927" t="s">
        <v>108</v>
      </c>
      <c r="F351" s="927" t="s">
        <v>261</v>
      </c>
      <c r="G351" s="652">
        <v>200</v>
      </c>
      <c r="H351" s="652">
        <v>439.92700000000002</v>
      </c>
      <c r="I351" s="652">
        <v>0</v>
      </c>
      <c r="J351" s="650">
        <v>0</v>
      </c>
      <c r="K351" s="650">
        <v>583.12</v>
      </c>
    </row>
    <row r="352" spans="1:11" ht="20.100000000000001" customHeight="1">
      <c r="A352" s="927" t="s">
        <v>307</v>
      </c>
      <c r="B352" s="927" t="s">
        <v>259</v>
      </c>
      <c r="C352" s="927" t="s">
        <v>474</v>
      </c>
      <c r="D352" s="927" t="s">
        <v>292</v>
      </c>
      <c r="E352" s="927" t="s">
        <v>108</v>
      </c>
      <c r="F352" s="927" t="s">
        <v>261</v>
      </c>
      <c r="G352" s="652">
        <v>30</v>
      </c>
      <c r="H352" s="652">
        <v>68.679000000000002</v>
      </c>
      <c r="I352" s="652">
        <v>0</v>
      </c>
      <c r="J352" s="650">
        <v>0</v>
      </c>
      <c r="K352" s="650">
        <v>583.12</v>
      </c>
    </row>
    <row r="353" spans="1:11" ht="20.100000000000001" customHeight="1">
      <c r="A353" s="927" t="s">
        <v>308</v>
      </c>
      <c r="B353" s="927" t="s">
        <v>259</v>
      </c>
      <c r="C353" s="927" t="s">
        <v>474</v>
      </c>
      <c r="D353" s="927" t="s">
        <v>292</v>
      </c>
      <c r="E353" s="927" t="s">
        <v>108</v>
      </c>
      <c r="F353" s="927" t="s">
        <v>261</v>
      </c>
      <c r="G353" s="652">
        <v>30</v>
      </c>
      <c r="H353" s="652">
        <v>30.401</v>
      </c>
      <c r="I353" s="652">
        <v>0</v>
      </c>
      <c r="J353" s="650">
        <v>0</v>
      </c>
      <c r="K353" s="650">
        <v>583.12</v>
      </c>
    </row>
    <row r="354" spans="1:11" ht="20.100000000000001" customHeight="1">
      <c r="A354" s="927" t="s">
        <v>309</v>
      </c>
      <c r="B354" s="927" t="s">
        <v>259</v>
      </c>
      <c r="C354" s="927" t="s">
        <v>474</v>
      </c>
      <c r="D354" s="927" t="s">
        <v>292</v>
      </c>
      <c r="E354" s="927" t="s">
        <v>108</v>
      </c>
      <c r="F354" s="927" t="s">
        <v>261</v>
      </c>
      <c r="G354" s="652">
        <v>30</v>
      </c>
      <c r="H354" s="652">
        <v>64.418999999999997</v>
      </c>
      <c r="I354" s="652">
        <v>0</v>
      </c>
      <c r="J354" s="650">
        <v>0</v>
      </c>
      <c r="K354" s="650">
        <v>583.12</v>
      </c>
    </row>
    <row r="355" spans="1:11" ht="20.100000000000001" customHeight="1">
      <c r="A355" s="927" t="s">
        <v>310</v>
      </c>
      <c r="B355" s="927" t="s">
        <v>259</v>
      </c>
      <c r="C355" s="927" t="s">
        <v>474</v>
      </c>
      <c r="D355" s="927" t="s">
        <v>292</v>
      </c>
      <c r="E355" s="927" t="s">
        <v>108</v>
      </c>
      <c r="F355" s="927" t="s">
        <v>261</v>
      </c>
      <c r="G355" s="652">
        <v>30</v>
      </c>
      <c r="H355" s="652">
        <v>52.819000000000003</v>
      </c>
      <c r="I355" s="652">
        <v>0</v>
      </c>
      <c r="J355" s="650">
        <v>0</v>
      </c>
      <c r="K355" s="650">
        <v>583.12</v>
      </c>
    </row>
    <row r="356" spans="1:11" ht="20.100000000000001" customHeight="1">
      <c r="A356" s="927" t="s">
        <v>311</v>
      </c>
      <c r="B356" s="927" t="s">
        <v>259</v>
      </c>
      <c r="C356" s="927" t="s">
        <v>474</v>
      </c>
      <c r="D356" s="927" t="s">
        <v>292</v>
      </c>
      <c r="E356" s="927" t="s">
        <v>108</v>
      </c>
      <c r="F356" s="927" t="s">
        <v>261</v>
      </c>
      <c r="G356" s="652">
        <v>8</v>
      </c>
      <c r="H356" s="652">
        <v>30.984999999999999</v>
      </c>
      <c r="I356" s="652">
        <v>0</v>
      </c>
      <c r="J356" s="650">
        <v>0</v>
      </c>
      <c r="K356" s="650">
        <v>583.12</v>
      </c>
    </row>
    <row r="357" spans="1:11" ht="20.100000000000001" customHeight="1">
      <c r="A357" s="927" t="s">
        <v>312</v>
      </c>
      <c r="B357" s="927" t="s">
        <v>259</v>
      </c>
      <c r="C357" s="927" t="s">
        <v>474</v>
      </c>
      <c r="D357" s="927" t="s">
        <v>292</v>
      </c>
      <c r="E357" s="927" t="s">
        <v>108</v>
      </c>
      <c r="F357" s="927" t="s">
        <v>261</v>
      </c>
      <c r="G357" s="652">
        <v>2</v>
      </c>
      <c r="H357" s="652">
        <v>3.125</v>
      </c>
      <c r="I357" s="652">
        <v>0</v>
      </c>
      <c r="J357" s="650">
        <v>0</v>
      </c>
      <c r="K357" s="650">
        <v>583.12</v>
      </c>
    </row>
    <row r="358" spans="1:11" ht="20.100000000000001" customHeight="1">
      <c r="A358" s="927" t="s">
        <v>313</v>
      </c>
      <c r="B358" s="927" t="s">
        <v>259</v>
      </c>
      <c r="C358" s="927" t="s">
        <v>474</v>
      </c>
      <c r="D358" s="927" t="s">
        <v>292</v>
      </c>
      <c r="E358" s="927" t="s">
        <v>108</v>
      </c>
      <c r="F358" s="927" t="s">
        <v>261</v>
      </c>
      <c r="G358" s="652">
        <v>7.5</v>
      </c>
      <c r="H358" s="652">
        <v>6.26</v>
      </c>
      <c r="I358" s="652">
        <v>0</v>
      </c>
      <c r="J358" s="650">
        <v>0</v>
      </c>
      <c r="K358" s="650">
        <v>583.12</v>
      </c>
    </row>
    <row r="359" spans="1:11" ht="20.100000000000001" customHeight="1">
      <c r="A359" s="927" t="s">
        <v>314</v>
      </c>
      <c r="B359" s="927" t="s">
        <v>259</v>
      </c>
      <c r="C359" s="927" t="s">
        <v>474</v>
      </c>
      <c r="D359" s="927" t="s">
        <v>292</v>
      </c>
      <c r="E359" s="927" t="s">
        <v>108</v>
      </c>
      <c r="F359" s="927" t="s">
        <v>261</v>
      </c>
      <c r="G359" s="652">
        <v>0.7</v>
      </c>
      <c r="H359" s="652">
        <v>1.4350000000000001</v>
      </c>
      <c r="I359" s="652">
        <v>0</v>
      </c>
      <c r="J359" s="650">
        <v>0</v>
      </c>
      <c r="K359" s="650">
        <v>583.12</v>
      </c>
    </row>
    <row r="360" spans="1:11" ht="20.100000000000001" customHeight="1">
      <c r="A360" s="927" t="s">
        <v>854</v>
      </c>
      <c r="B360" s="927" t="s">
        <v>259</v>
      </c>
      <c r="C360" s="927" t="s">
        <v>474</v>
      </c>
      <c r="D360" s="927" t="s">
        <v>292</v>
      </c>
      <c r="E360" s="927" t="s">
        <v>108</v>
      </c>
      <c r="F360" s="927" t="s">
        <v>261</v>
      </c>
      <c r="G360" s="652">
        <v>1.95</v>
      </c>
      <c r="H360" s="652">
        <v>2.823</v>
      </c>
      <c r="I360" s="652">
        <v>0</v>
      </c>
      <c r="J360" s="650">
        <v>0</v>
      </c>
      <c r="K360" s="650">
        <v>583.12</v>
      </c>
    </row>
    <row r="361" spans="1:11" ht="20.100000000000001" customHeight="1">
      <c r="A361" s="927" t="s">
        <v>315</v>
      </c>
      <c r="B361" s="927" t="s">
        <v>259</v>
      </c>
      <c r="C361" s="927" t="s">
        <v>474</v>
      </c>
      <c r="D361" s="927" t="s">
        <v>292</v>
      </c>
      <c r="E361" s="927" t="s">
        <v>108</v>
      </c>
      <c r="F361" s="927" t="s">
        <v>261</v>
      </c>
      <c r="G361" s="652">
        <v>168</v>
      </c>
      <c r="H361" s="652">
        <v>745.50300000000004</v>
      </c>
      <c r="I361" s="652">
        <v>0</v>
      </c>
      <c r="J361" s="650">
        <v>0</v>
      </c>
      <c r="K361" s="650">
        <v>583.12</v>
      </c>
    </row>
    <row r="362" spans="1:11" ht="20.100000000000001" customHeight="1">
      <c r="A362" s="927" t="s">
        <v>316</v>
      </c>
      <c r="B362" s="927" t="s">
        <v>259</v>
      </c>
      <c r="C362" s="927" t="s">
        <v>474</v>
      </c>
      <c r="D362" s="927" t="s">
        <v>292</v>
      </c>
      <c r="E362" s="927" t="s">
        <v>108</v>
      </c>
      <c r="F362" s="927" t="s">
        <v>261</v>
      </c>
      <c r="G362" s="652">
        <v>19</v>
      </c>
      <c r="H362" s="652">
        <v>23.061</v>
      </c>
      <c r="I362" s="652">
        <v>0</v>
      </c>
      <c r="J362" s="650">
        <v>0</v>
      </c>
      <c r="K362" s="650">
        <v>583.12</v>
      </c>
    </row>
    <row r="363" spans="1:11" ht="20.100000000000001" customHeight="1">
      <c r="A363" s="927" t="s">
        <v>317</v>
      </c>
      <c r="B363" s="927" t="s">
        <v>259</v>
      </c>
      <c r="C363" s="927" t="s">
        <v>474</v>
      </c>
      <c r="D363" s="927" t="s">
        <v>292</v>
      </c>
      <c r="E363" s="927" t="s">
        <v>108</v>
      </c>
      <c r="F363" s="927" t="s">
        <v>261</v>
      </c>
      <c r="G363" s="652">
        <v>35</v>
      </c>
      <c r="H363" s="652">
        <v>92.272000000000006</v>
      </c>
      <c r="I363" s="652">
        <v>0</v>
      </c>
      <c r="J363" s="650">
        <v>0</v>
      </c>
      <c r="K363" s="650">
        <v>583.12</v>
      </c>
    </row>
    <row r="364" spans="1:11" ht="20.100000000000001" customHeight="1">
      <c r="A364" s="927" t="s">
        <v>318</v>
      </c>
      <c r="B364" s="927" t="s">
        <v>259</v>
      </c>
      <c r="C364" s="927" t="s">
        <v>474</v>
      </c>
      <c r="D364" s="927" t="s">
        <v>292</v>
      </c>
      <c r="E364" s="927" t="s">
        <v>108</v>
      </c>
      <c r="F364" s="927" t="s">
        <v>261</v>
      </c>
      <c r="G364" s="652">
        <v>32</v>
      </c>
      <c r="H364" s="652">
        <v>120.60299999999999</v>
      </c>
      <c r="I364" s="652">
        <v>0</v>
      </c>
      <c r="J364" s="650">
        <v>0</v>
      </c>
      <c r="K364" s="650">
        <v>583.12</v>
      </c>
    </row>
    <row r="365" spans="1:11" ht="20.100000000000001" customHeight="1">
      <c r="A365" s="927" t="s">
        <v>319</v>
      </c>
      <c r="B365" s="927" t="s">
        <v>259</v>
      </c>
      <c r="C365" s="927" t="s">
        <v>474</v>
      </c>
      <c r="D365" s="927" t="s">
        <v>292</v>
      </c>
      <c r="E365" s="927" t="s">
        <v>108</v>
      </c>
      <c r="F365" s="927" t="s">
        <v>261</v>
      </c>
      <c r="G365" s="652">
        <v>20</v>
      </c>
      <c r="H365" s="652">
        <v>43.154000000000003</v>
      </c>
      <c r="I365" s="652">
        <v>0</v>
      </c>
      <c r="J365" s="650">
        <v>0</v>
      </c>
      <c r="K365" s="650">
        <v>583.12</v>
      </c>
    </row>
    <row r="366" spans="1:11" ht="20.100000000000001" customHeight="1">
      <c r="A366" s="930" t="s">
        <v>320</v>
      </c>
      <c r="B366" s="927" t="s">
        <v>259</v>
      </c>
      <c r="C366" s="927" t="s">
        <v>474</v>
      </c>
      <c r="D366" s="927" t="s">
        <v>292</v>
      </c>
      <c r="E366" s="927" t="s">
        <v>108</v>
      </c>
      <c r="F366" s="927" t="s">
        <v>261</v>
      </c>
      <c r="G366" s="652">
        <v>30</v>
      </c>
      <c r="H366" s="652">
        <v>129.565</v>
      </c>
      <c r="I366" s="652">
        <v>0</v>
      </c>
      <c r="J366" s="650">
        <v>0</v>
      </c>
      <c r="K366" s="650">
        <v>583.12</v>
      </c>
    </row>
    <row r="367" spans="1:11" ht="20.100000000000001" customHeight="1">
      <c r="A367" s="927" t="s">
        <v>321</v>
      </c>
      <c r="B367" s="927" t="s">
        <v>259</v>
      </c>
      <c r="C367" s="927" t="s">
        <v>474</v>
      </c>
      <c r="D367" s="927" t="s">
        <v>292</v>
      </c>
      <c r="E367" s="927" t="s">
        <v>108</v>
      </c>
      <c r="F367" s="927" t="s">
        <v>261</v>
      </c>
      <c r="G367" s="652">
        <v>60</v>
      </c>
      <c r="H367" s="652">
        <v>48.290999999999997</v>
      </c>
      <c r="I367" s="652">
        <v>0</v>
      </c>
      <c r="J367" s="650">
        <v>0</v>
      </c>
      <c r="K367" s="650">
        <v>583.12</v>
      </c>
    </row>
    <row r="368" spans="1:11" ht="20.100000000000001" customHeight="1">
      <c r="A368" s="927" t="s">
        <v>322</v>
      </c>
      <c r="B368" s="927" t="s">
        <v>259</v>
      </c>
      <c r="C368" s="927" t="s">
        <v>474</v>
      </c>
      <c r="D368" s="927" t="s">
        <v>292</v>
      </c>
      <c r="E368" s="927" t="s">
        <v>108</v>
      </c>
      <c r="F368" s="927" t="s">
        <v>261</v>
      </c>
      <c r="G368" s="652">
        <v>400</v>
      </c>
      <c r="H368" s="652">
        <v>431.42500000000001</v>
      </c>
      <c r="I368" s="652">
        <v>0</v>
      </c>
      <c r="J368" s="650">
        <v>0</v>
      </c>
      <c r="K368" s="650">
        <v>583.12</v>
      </c>
    </row>
    <row r="369" spans="1:11" ht="20.100000000000001" customHeight="1">
      <c r="A369" s="930" t="s">
        <v>323</v>
      </c>
      <c r="B369" s="927" t="s">
        <v>259</v>
      </c>
      <c r="C369" s="927" t="s">
        <v>474</v>
      </c>
      <c r="D369" s="927" t="s">
        <v>292</v>
      </c>
      <c r="E369" s="927" t="s">
        <v>108</v>
      </c>
      <c r="F369" s="927" t="s">
        <v>261</v>
      </c>
      <c r="G369" s="652">
        <v>77</v>
      </c>
      <c r="H369" s="652">
        <v>177.46899999999999</v>
      </c>
      <c r="I369" s="652">
        <v>0</v>
      </c>
      <c r="J369" s="650">
        <v>0</v>
      </c>
      <c r="K369" s="650">
        <v>583.12</v>
      </c>
    </row>
    <row r="370" spans="1:11" ht="20.100000000000001" customHeight="1">
      <c r="A370" s="930" t="s">
        <v>324</v>
      </c>
      <c r="B370" s="927" t="s">
        <v>259</v>
      </c>
      <c r="C370" s="927" t="s">
        <v>474</v>
      </c>
      <c r="D370" s="927" t="s">
        <v>292</v>
      </c>
      <c r="E370" s="927" t="s">
        <v>108</v>
      </c>
      <c r="F370" s="927" t="s">
        <v>261</v>
      </c>
      <c r="G370" s="652">
        <v>25</v>
      </c>
      <c r="H370" s="652">
        <v>43.136000000000003</v>
      </c>
      <c r="I370" s="652">
        <v>0</v>
      </c>
      <c r="J370" s="650">
        <v>0</v>
      </c>
      <c r="K370" s="650">
        <v>583.12</v>
      </c>
    </row>
    <row r="371" spans="1:11" ht="20.100000000000001" customHeight="1">
      <c r="A371" s="930" t="s">
        <v>325</v>
      </c>
      <c r="B371" s="927" t="s">
        <v>259</v>
      </c>
      <c r="C371" s="927" t="s">
        <v>474</v>
      </c>
      <c r="D371" s="927" t="s">
        <v>292</v>
      </c>
      <c r="E371" s="927" t="s">
        <v>108</v>
      </c>
      <c r="F371" s="927" t="s">
        <v>261</v>
      </c>
      <c r="G371" s="652">
        <v>60</v>
      </c>
      <c r="H371" s="652">
        <v>143.70699999999999</v>
      </c>
      <c r="I371" s="652">
        <v>0</v>
      </c>
      <c r="J371" s="650">
        <v>0</v>
      </c>
      <c r="K371" s="650">
        <v>583.12</v>
      </c>
    </row>
    <row r="372" spans="1:11" ht="20.100000000000001" customHeight="1">
      <c r="A372" s="927" t="s">
        <v>326</v>
      </c>
      <c r="B372" s="927" t="s">
        <v>259</v>
      </c>
      <c r="C372" s="927" t="s">
        <v>474</v>
      </c>
      <c r="D372" s="927" t="s">
        <v>292</v>
      </c>
      <c r="E372" s="927" t="s">
        <v>108</v>
      </c>
      <c r="F372" s="927" t="s">
        <v>261</v>
      </c>
      <c r="G372" s="652">
        <v>40</v>
      </c>
      <c r="H372" s="652">
        <v>50.243000000000002</v>
      </c>
      <c r="I372" s="652">
        <v>0</v>
      </c>
      <c r="J372" s="650">
        <v>0</v>
      </c>
      <c r="K372" s="650">
        <v>583.12</v>
      </c>
    </row>
    <row r="373" spans="1:11" ht="20.100000000000001" customHeight="1">
      <c r="A373" s="927" t="s">
        <v>327</v>
      </c>
      <c r="B373" s="927" t="s">
        <v>259</v>
      </c>
      <c r="C373" s="927" t="s">
        <v>474</v>
      </c>
      <c r="D373" s="927" t="s">
        <v>292</v>
      </c>
      <c r="E373" s="927" t="s">
        <v>108</v>
      </c>
      <c r="F373" s="927" t="s">
        <v>261</v>
      </c>
      <c r="G373" s="652">
        <v>2.5</v>
      </c>
      <c r="H373" s="652">
        <v>5.91</v>
      </c>
      <c r="I373" s="652">
        <v>0</v>
      </c>
      <c r="J373" s="650">
        <v>0</v>
      </c>
      <c r="K373" s="650">
        <v>583.12</v>
      </c>
    </row>
    <row r="374" spans="1:11" ht="20.100000000000001" customHeight="1">
      <c r="A374" s="927" t="s">
        <v>328</v>
      </c>
      <c r="B374" s="927" t="s">
        <v>259</v>
      </c>
      <c r="C374" s="927" t="s">
        <v>474</v>
      </c>
      <c r="D374" s="927" t="s">
        <v>292</v>
      </c>
      <c r="E374" s="927" t="s">
        <v>108</v>
      </c>
      <c r="F374" s="927" t="s">
        <v>261</v>
      </c>
      <c r="G374" s="652">
        <v>150</v>
      </c>
      <c r="H374" s="652">
        <v>504.85599999999999</v>
      </c>
      <c r="I374" s="652">
        <v>0</v>
      </c>
      <c r="J374" s="650">
        <v>0</v>
      </c>
      <c r="K374" s="650">
        <v>583.12</v>
      </c>
    </row>
    <row r="375" spans="1:11" ht="20.100000000000001" customHeight="1">
      <c r="A375" s="927" t="s">
        <v>329</v>
      </c>
      <c r="B375" s="927" t="s">
        <v>259</v>
      </c>
      <c r="C375" s="927" t="s">
        <v>474</v>
      </c>
      <c r="D375" s="927" t="s">
        <v>292</v>
      </c>
      <c r="E375" s="927" t="s">
        <v>108</v>
      </c>
      <c r="F375" s="927" t="s">
        <v>261</v>
      </c>
      <c r="G375" s="652">
        <v>4</v>
      </c>
      <c r="H375" s="652">
        <v>9.4350000000000005</v>
      </c>
      <c r="I375" s="652">
        <v>0</v>
      </c>
      <c r="J375" s="650">
        <v>0</v>
      </c>
      <c r="K375" s="650">
        <v>583.12</v>
      </c>
    </row>
    <row r="376" spans="1:11" ht="20.100000000000001" customHeight="1">
      <c r="A376" s="650" t="s">
        <v>560</v>
      </c>
      <c r="B376" s="927" t="s">
        <v>259</v>
      </c>
      <c r="C376" s="927" t="s">
        <v>474</v>
      </c>
      <c r="D376" s="927" t="s">
        <v>292</v>
      </c>
      <c r="E376" s="650" t="s">
        <v>108</v>
      </c>
      <c r="F376" s="650" t="s">
        <v>261</v>
      </c>
      <c r="G376" s="651">
        <v>8</v>
      </c>
      <c r="H376" s="1266">
        <v>28.57</v>
      </c>
      <c r="I376" s="652">
        <v>0</v>
      </c>
      <c r="J376" s="650">
        <v>0</v>
      </c>
      <c r="K376" s="650">
        <v>583.12</v>
      </c>
    </row>
    <row r="377" spans="1:11" ht="20.100000000000001" customHeight="1">
      <c r="A377" s="650" t="s">
        <v>855</v>
      </c>
      <c r="B377" s="927" t="s">
        <v>259</v>
      </c>
      <c r="C377" s="927" t="s">
        <v>474</v>
      </c>
      <c r="D377" s="927" t="s">
        <v>292</v>
      </c>
      <c r="E377" s="650" t="s">
        <v>108</v>
      </c>
      <c r="F377" s="650" t="s">
        <v>261</v>
      </c>
      <c r="G377" s="651">
        <v>110</v>
      </c>
      <c r="H377" s="1266">
        <v>179.30699999999999</v>
      </c>
      <c r="I377" s="652">
        <v>0</v>
      </c>
      <c r="J377" s="650">
        <v>0</v>
      </c>
      <c r="K377" s="650">
        <v>583.12</v>
      </c>
    </row>
    <row r="378" spans="1:11" ht="20.100000000000001" customHeight="1">
      <c r="A378" s="650" t="s">
        <v>856</v>
      </c>
      <c r="B378" s="927" t="s">
        <v>259</v>
      </c>
      <c r="C378" s="927" t="s">
        <v>474</v>
      </c>
      <c r="D378" s="927" t="s">
        <v>292</v>
      </c>
      <c r="E378" s="650" t="s">
        <v>108</v>
      </c>
      <c r="F378" s="650" t="s">
        <v>261</v>
      </c>
      <c r="G378" s="651">
        <v>1.3</v>
      </c>
      <c r="H378" s="1266">
        <v>2.952</v>
      </c>
      <c r="I378" s="652">
        <v>0</v>
      </c>
      <c r="J378" s="650">
        <v>0</v>
      </c>
      <c r="K378" s="650">
        <v>583.12</v>
      </c>
    </row>
    <row r="379" spans="1:11" ht="20.100000000000001" customHeight="1">
      <c r="A379" s="650" t="s">
        <v>1448</v>
      </c>
      <c r="B379" s="927" t="s">
        <v>259</v>
      </c>
      <c r="C379" s="927" t="s">
        <v>10</v>
      </c>
      <c r="D379" s="927" t="s">
        <v>1449</v>
      </c>
      <c r="E379" s="650" t="s">
        <v>120</v>
      </c>
      <c r="F379" s="650" t="s">
        <v>261</v>
      </c>
      <c r="G379" s="651">
        <v>120</v>
      </c>
      <c r="H379" s="1266">
        <v>633.41700000000003</v>
      </c>
      <c r="I379" s="652">
        <v>93</v>
      </c>
      <c r="J379" s="650">
        <v>242</v>
      </c>
      <c r="K379" s="650">
        <v>334.7</v>
      </c>
    </row>
    <row r="380" spans="1:11" ht="20.100000000000001" customHeight="1">
      <c r="A380" s="650" t="s">
        <v>1450</v>
      </c>
      <c r="B380" s="927" t="s">
        <v>259</v>
      </c>
      <c r="C380" s="927" t="s">
        <v>10</v>
      </c>
      <c r="D380" s="927" t="s">
        <v>1451</v>
      </c>
      <c r="E380" s="650" t="s">
        <v>577</v>
      </c>
      <c r="F380" s="650" t="s">
        <v>266</v>
      </c>
      <c r="G380" s="651">
        <v>368.14400000000001</v>
      </c>
      <c r="H380" s="1266">
        <v>1630.34</v>
      </c>
      <c r="I380" s="652">
        <v>96</v>
      </c>
      <c r="J380" s="650">
        <v>233</v>
      </c>
      <c r="K380" s="650">
        <v>329</v>
      </c>
    </row>
    <row r="381" spans="1:11" ht="20.100000000000001" customHeight="1">
      <c r="A381" s="927" t="s">
        <v>859</v>
      </c>
      <c r="B381" s="927" t="s">
        <v>259</v>
      </c>
      <c r="C381" s="927" t="s">
        <v>10</v>
      </c>
      <c r="D381" s="927" t="s">
        <v>859</v>
      </c>
      <c r="E381" s="650" t="s">
        <v>124</v>
      </c>
      <c r="F381" s="650" t="s">
        <v>266</v>
      </c>
      <c r="G381" s="651">
        <v>1040</v>
      </c>
      <c r="H381" s="1266">
        <v>881.72</v>
      </c>
      <c r="I381" s="652">
        <v>106</v>
      </c>
      <c r="J381" s="650">
        <v>276</v>
      </c>
      <c r="K381" s="650">
        <v>382</v>
      </c>
    </row>
    <row r="382" spans="1:11" ht="20.100000000000001" customHeight="1">
      <c r="A382" s="927" t="s">
        <v>1452</v>
      </c>
      <c r="B382" s="927" t="s">
        <v>259</v>
      </c>
      <c r="C382" s="927" t="s">
        <v>857</v>
      </c>
      <c r="D382" s="927" t="s">
        <v>858</v>
      </c>
      <c r="E382" s="650" t="s">
        <v>124</v>
      </c>
      <c r="F382" s="650" t="s">
        <v>266</v>
      </c>
      <c r="G382" s="1268">
        <v>1600</v>
      </c>
      <c r="H382" s="1266">
        <v>6469.54</v>
      </c>
      <c r="I382" s="652">
        <v>175</v>
      </c>
      <c r="J382" s="650">
        <v>288</v>
      </c>
      <c r="K382" s="650">
        <v>463</v>
      </c>
    </row>
    <row r="383" spans="1:11" ht="34.5" customHeight="1">
      <c r="A383" s="927" t="s">
        <v>693</v>
      </c>
      <c r="B383" s="927" t="s">
        <v>259</v>
      </c>
      <c r="C383" s="927" t="s">
        <v>10</v>
      </c>
      <c r="D383" s="927" t="s">
        <v>694</v>
      </c>
      <c r="E383" s="650" t="s">
        <v>124</v>
      </c>
      <c r="F383" s="650" t="s">
        <v>266</v>
      </c>
      <c r="G383" s="1268">
        <v>300</v>
      </c>
      <c r="H383" s="1266">
        <v>36.590000000000003</v>
      </c>
      <c r="I383" s="652">
        <v>0</v>
      </c>
      <c r="J383" s="650">
        <v>379</v>
      </c>
      <c r="K383" s="650">
        <v>379</v>
      </c>
    </row>
    <row r="384" spans="1:11" ht="36.75" customHeight="1">
      <c r="A384" s="927" t="s">
        <v>1453</v>
      </c>
      <c r="B384" s="927" t="s">
        <v>259</v>
      </c>
      <c r="C384" s="927" t="s">
        <v>10</v>
      </c>
      <c r="D384" s="927" t="s">
        <v>561</v>
      </c>
      <c r="E384" s="650" t="s">
        <v>577</v>
      </c>
      <c r="F384" s="650" t="s">
        <v>266</v>
      </c>
      <c r="G384" s="1268">
        <v>205.24600000000001</v>
      </c>
      <c r="H384" s="1266">
        <v>1110.8228999999999</v>
      </c>
      <c r="I384" s="652">
        <v>92</v>
      </c>
      <c r="J384" s="650">
        <v>239.9</v>
      </c>
      <c r="K384" s="650">
        <v>331.9</v>
      </c>
    </row>
    <row r="385" spans="1:11" ht="34.5" customHeight="1">
      <c r="A385" s="1267" t="s">
        <v>860</v>
      </c>
      <c r="B385" s="927" t="s">
        <v>259</v>
      </c>
      <c r="C385" s="927" t="s">
        <v>10</v>
      </c>
      <c r="D385" s="927" t="s">
        <v>613</v>
      </c>
      <c r="E385" s="927" t="s">
        <v>141</v>
      </c>
      <c r="F385" s="650" t="s">
        <v>261</v>
      </c>
      <c r="G385" s="651">
        <v>250</v>
      </c>
      <c r="H385" s="1266">
        <v>1175.9159999999999</v>
      </c>
      <c r="I385" s="652">
        <v>159</v>
      </c>
      <c r="J385" s="650">
        <v>345</v>
      </c>
      <c r="K385" s="650">
        <v>504</v>
      </c>
    </row>
    <row r="386" spans="1:11" ht="20.100000000000001" customHeight="1">
      <c r="A386" s="927" t="s">
        <v>1454</v>
      </c>
      <c r="B386" s="927" t="s">
        <v>259</v>
      </c>
      <c r="C386" s="927" t="s">
        <v>10</v>
      </c>
      <c r="D386" s="927" t="s">
        <v>861</v>
      </c>
      <c r="E386" s="927" t="s">
        <v>124</v>
      </c>
      <c r="F386" s="650" t="s">
        <v>261</v>
      </c>
      <c r="G386" s="651">
        <v>600</v>
      </c>
      <c r="H386" s="1266">
        <v>2027.1</v>
      </c>
      <c r="I386" s="652">
        <v>243</v>
      </c>
      <c r="J386" s="650">
        <v>292</v>
      </c>
      <c r="K386" s="650">
        <v>534</v>
      </c>
    </row>
    <row r="387" spans="1:11" ht="20.100000000000001" customHeight="1">
      <c r="A387" s="927" t="s">
        <v>1455</v>
      </c>
      <c r="B387" s="927" t="s">
        <v>259</v>
      </c>
      <c r="C387" s="927" t="s">
        <v>10</v>
      </c>
      <c r="D387" s="927" t="s">
        <v>861</v>
      </c>
      <c r="E387" s="927" t="s">
        <v>124</v>
      </c>
      <c r="F387" s="650" t="s">
        <v>261</v>
      </c>
      <c r="G387" s="651">
        <v>600</v>
      </c>
      <c r="H387" s="1266">
        <v>3082</v>
      </c>
      <c r="I387" s="652">
        <v>0</v>
      </c>
      <c r="J387" s="650">
        <v>0</v>
      </c>
      <c r="K387" s="650">
        <v>475</v>
      </c>
    </row>
    <row r="388" spans="1:11" ht="20.100000000000001" customHeight="1">
      <c r="A388" s="927" t="s">
        <v>1456</v>
      </c>
      <c r="B388" s="927" t="s">
        <v>330</v>
      </c>
      <c r="C388" s="927" t="s">
        <v>8</v>
      </c>
      <c r="D388" s="927" t="s">
        <v>9</v>
      </c>
      <c r="E388" s="927" t="s">
        <v>124</v>
      </c>
      <c r="F388" s="650" t="s">
        <v>331</v>
      </c>
      <c r="G388" s="651">
        <v>210</v>
      </c>
      <c r="H388" s="1266">
        <v>601.66</v>
      </c>
      <c r="I388" s="652">
        <v>77.02</v>
      </c>
      <c r="J388" s="650">
        <v>209.92</v>
      </c>
      <c r="K388" s="650">
        <v>286.94</v>
      </c>
    </row>
    <row r="389" spans="1:11" ht="20.100000000000001" customHeight="1">
      <c r="A389" s="927" t="s">
        <v>1457</v>
      </c>
      <c r="B389" s="927" t="s">
        <v>330</v>
      </c>
      <c r="C389" s="927" t="s">
        <v>8</v>
      </c>
      <c r="D389" s="927" t="s">
        <v>9</v>
      </c>
      <c r="E389" s="927" t="s">
        <v>124</v>
      </c>
      <c r="F389" s="650" t="s">
        <v>331</v>
      </c>
      <c r="G389" s="651">
        <v>500</v>
      </c>
      <c r="H389" s="1266">
        <v>2750.1</v>
      </c>
      <c r="I389" s="652">
        <v>219</v>
      </c>
      <c r="J389" s="650">
        <v>163.69999999999999</v>
      </c>
      <c r="K389" s="650">
        <v>382.7</v>
      </c>
    </row>
    <row r="390" spans="1:11" ht="20.100000000000001" customHeight="1">
      <c r="A390" s="927" t="s">
        <v>1458</v>
      </c>
      <c r="B390" s="927" t="s">
        <v>330</v>
      </c>
      <c r="C390" s="927" t="s">
        <v>8</v>
      </c>
      <c r="D390" s="927" t="s">
        <v>9</v>
      </c>
      <c r="E390" s="927" t="s">
        <v>124</v>
      </c>
      <c r="F390" s="650" t="s">
        <v>331</v>
      </c>
      <c r="G390" s="651">
        <v>630</v>
      </c>
      <c r="H390" s="1266">
        <v>14384.87</v>
      </c>
      <c r="I390" s="652">
        <v>84.82</v>
      </c>
      <c r="J390" s="650">
        <v>283.23</v>
      </c>
      <c r="K390" s="650">
        <v>368.05</v>
      </c>
    </row>
    <row r="391" spans="1:11" ht="20.100000000000001" customHeight="1">
      <c r="A391" s="927" t="s">
        <v>1459</v>
      </c>
      <c r="B391" s="927" t="s">
        <v>330</v>
      </c>
      <c r="C391" s="927" t="s">
        <v>8</v>
      </c>
      <c r="D391" s="927" t="s">
        <v>9</v>
      </c>
      <c r="E391" s="927" t="s">
        <v>124</v>
      </c>
      <c r="F391" s="650" t="s">
        <v>331</v>
      </c>
      <c r="G391" s="651">
        <v>210</v>
      </c>
      <c r="H391" s="1266">
        <v>873.65</v>
      </c>
      <c r="I391" s="652">
        <v>83.58</v>
      </c>
      <c r="J391" s="650">
        <v>283.23</v>
      </c>
      <c r="K391" s="650">
        <v>366.81</v>
      </c>
    </row>
    <row r="392" spans="1:11" ht="20.100000000000001" customHeight="1">
      <c r="A392" s="927" t="s">
        <v>1460</v>
      </c>
      <c r="B392" s="927" t="s">
        <v>330</v>
      </c>
      <c r="C392" s="927" t="s">
        <v>8</v>
      </c>
      <c r="D392" s="927" t="s">
        <v>9</v>
      </c>
      <c r="E392" s="927" t="s">
        <v>124</v>
      </c>
      <c r="F392" s="650" t="s">
        <v>331</v>
      </c>
      <c r="G392" s="651">
        <v>500</v>
      </c>
      <c r="H392" s="1266">
        <v>2776.28</v>
      </c>
      <c r="I392" s="652">
        <v>139.84</v>
      </c>
      <c r="J392" s="650">
        <v>286.10000000000002</v>
      </c>
      <c r="K392" s="650">
        <v>425.94000000000005</v>
      </c>
    </row>
    <row r="393" spans="1:11" ht="20.100000000000001" customHeight="1">
      <c r="A393" s="927" t="s">
        <v>1461</v>
      </c>
      <c r="B393" s="927" t="s">
        <v>330</v>
      </c>
      <c r="C393" s="927" t="s">
        <v>8</v>
      </c>
      <c r="D393" s="927" t="s">
        <v>9</v>
      </c>
      <c r="E393" s="927" t="s">
        <v>124</v>
      </c>
      <c r="F393" s="650" t="s">
        <v>331</v>
      </c>
      <c r="G393" s="651">
        <v>1000</v>
      </c>
      <c r="H393" s="1266">
        <v>5428.76</v>
      </c>
      <c r="I393" s="652">
        <v>144.46</v>
      </c>
      <c r="J393" s="650">
        <v>261.89999999999998</v>
      </c>
      <c r="K393" s="650">
        <v>406.36</v>
      </c>
    </row>
    <row r="394" spans="1:11" ht="20.100000000000001" customHeight="1">
      <c r="A394" s="927" t="s">
        <v>863</v>
      </c>
      <c r="B394" s="927" t="s">
        <v>330</v>
      </c>
      <c r="C394" s="927" t="s">
        <v>8</v>
      </c>
      <c r="D394" s="927" t="s">
        <v>9</v>
      </c>
      <c r="E394" s="927" t="s">
        <v>124</v>
      </c>
      <c r="F394" s="650" t="s">
        <v>332</v>
      </c>
      <c r="G394" s="651">
        <v>1000</v>
      </c>
      <c r="H394" s="1266">
        <v>5981.56</v>
      </c>
      <c r="I394" s="652">
        <v>156.51</v>
      </c>
      <c r="J394" s="650">
        <v>250.6</v>
      </c>
      <c r="K394" s="650">
        <v>407.11</v>
      </c>
    </row>
    <row r="395" spans="1:11" ht="20.100000000000001" customHeight="1">
      <c r="A395" s="927" t="s">
        <v>864</v>
      </c>
      <c r="B395" s="927" t="s">
        <v>330</v>
      </c>
      <c r="C395" s="927" t="s">
        <v>8</v>
      </c>
      <c r="D395" s="927" t="s">
        <v>9</v>
      </c>
      <c r="E395" s="927" t="s">
        <v>124</v>
      </c>
      <c r="F395" s="650" t="s">
        <v>332</v>
      </c>
      <c r="G395" s="651">
        <v>210</v>
      </c>
      <c r="H395" s="1266">
        <v>856.2</v>
      </c>
      <c r="I395" s="652">
        <v>92.34</v>
      </c>
      <c r="J395" s="650">
        <v>325.38</v>
      </c>
      <c r="K395" s="650">
        <v>417.72</v>
      </c>
    </row>
    <row r="396" spans="1:11" ht="20.100000000000001" customHeight="1">
      <c r="A396" s="927" t="s">
        <v>865</v>
      </c>
      <c r="B396" s="927" t="s">
        <v>330</v>
      </c>
      <c r="C396" s="927" t="s">
        <v>8</v>
      </c>
      <c r="D396" s="927" t="s">
        <v>9</v>
      </c>
      <c r="E396" s="927" t="s">
        <v>124</v>
      </c>
      <c r="F396" s="650" t="s">
        <v>332</v>
      </c>
      <c r="G396" s="651">
        <v>1200</v>
      </c>
      <c r="H396" s="1266">
        <v>2990.06</v>
      </c>
      <c r="I396" s="652">
        <v>164.84</v>
      </c>
      <c r="J396" s="650">
        <v>228.3</v>
      </c>
      <c r="K396" s="650">
        <v>393.14</v>
      </c>
    </row>
    <row r="397" spans="1:11" ht="20.100000000000001" customHeight="1">
      <c r="A397" s="927" t="s">
        <v>866</v>
      </c>
      <c r="B397" s="927" t="s">
        <v>330</v>
      </c>
      <c r="C397" s="927" t="s">
        <v>8</v>
      </c>
      <c r="D397" s="927" t="s">
        <v>9</v>
      </c>
      <c r="E397" s="927" t="s">
        <v>108</v>
      </c>
      <c r="F397" s="650" t="s">
        <v>332</v>
      </c>
      <c r="G397" s="651">
        <v>63.2</v>
      </c>
      <c r="H397" s="1266">
        <v>100.89</v>
      </c>
      <c r="I397" s="652">
        <v>172.95</v>
      </c>
      <c r="J397" s="650">
        <v>172.95</v>
      </c>
      <c r="K397" s="650">
        <v>345.9</v>
      </c>
    </row>
    <row r="398" spans="1:11" ht="24" customHeight="1">
      <c r="A398" s="927" t="s">
        <v>1462</v>
      </c>
      <c r="B398" s="927" t="s">
        <v>330</v>
      </c>
      <c r="C398" s="927" t="s">
        <v>8</v>
      </c>
      <c r="D398" s="927" t="s">
        <v>9</v>
      </c>
      <c r="E398" s="927" t="s">
        <v>124</v>
      </c>
      <c r="F398" s="650" t="s">
        <v>331</v>
      </c>
      <c r="G398" s="651">
        <v>500</v>
      </c>
      <c r="H398" s="1266">
        <v>3234.94</v>
      </c>
      <c r="I398" s="652">
        <v>156.61000000000001</v>
      </c>
      <c r="J398" s="650">
        <v>189</v>
      </c>
      <c r="K398" s="650">
        <v>345.61</v>
      </c>
    </row>
    <row r="399" spans="1:11" ht="20.100000000000001" customHeight="1">
      <c r="A399" s="927" t="s">
        <v>867</v>
      </c>
      <c r="B399" s="927" t="s">
        <v>330</v>
      </c>
      <c r="C399" s="927" t="s">
        <v>8</v>
      </c>
      <c r="D399" s="927" t="s">
        <v>9</v>
      </c>
      <c r="E399" s="927" t="s">
        <v>124</v>
      </c>
      <c r="F399" s="650" t="s">
        <v>331</v>
      </c>
      <c r="G399" s="651">
        <v>1000</v>
      </c>
      <c r="H399" s="1266">
        <v>5975.59</v>
      </c>
      <c r="I399" s="652">
        <v>166.65</v>
      </c>
      <c r="J399" s="650">
        <v>203.7</v>
      </c>
      <c r="K399" s="650">
        <v>370.35</v>
      </c>
    </row>
    <row r="400" spans="1:11" ht="20.100000000000001" customHeight="1">
      <c r="A400" s="927" t="s">
        <v>333</v>
      </c>
      <c r="B400" s="927" t="s">
        <v>330</v>
      </c>
      <c r="C400" s="927" t="s">
        <v>8</v>
      </c>
      <c r="D400" s="927" t="s">
        <v>9</v>
      </c>
      <c r="E400" s="927" t="s">
        <v>108</v>
      </c>
      <c r="F400" s="650" t="s">
        <v>331</v>
      </c>
      <c r="G400" s="651">
        <v>80</v>
      </c>
      <c r="H400" s="1266">
        <v>78.989999999999995</v>
      </c>
      <c r="I400" s="652">
        <v>163.1</v>
      </c>
      <c r="J400" s="650">
        <v>163.1</v>
      </c>
      <c r="K400" s="650">
        <v>326.2</v>
      </c>
    </row>
    <row r="401" spans="1:11" ht="20.100000000000001" customHeight="1">
      <c r="A401" s="927" t="s">
        <v>1463</v>
      </c>
      <c r="B401" s="927" t="s">
        <v>107</v>
      </c>
      <c r="C401" s="927" t="s">
        <v>8</v>
      </c>
      <c r="D401" s="927" t="s">
        <v>111</v>
      </c>
      <c r="E401" s="927" t="s">
        <v>108</v>
      </c>
      <c r="F401" s="650" t="s">
        <v>160</v>
      </c>
      <c r="G401" s="651">
        <v>330</v>
      </c>
      <c r="H401" s="1266">
        <v>529</v>
      </c>
      <c r="I401" s="652">
        <v>169</v>
      </c>
      <c r="J401" s="650">
        <v>169</v>
      </c>
      <c r="K401" s="650">
        <v>338</v>
      </c>
    </row>
    <row r="402" spans="1:11" ht="20.100000000000001" customHeight="1">
      <c r="A402" s="927" t="s">
        <v>334</v>
      </c>
      <c r="B402" s="927" t="s">
        <v>330</v>
      </c>
      <c r="C402" s="927" t="s">
        <v>8</v>
      </c>
      <c r="D402" s="927" t="s">
        <v>111</v>
      </c>
      <c r="E402" s="927" t="s">
        <v>108</v>
      </c>
      <c r="F402" s="650" t="s">
        <v>335</v>
      </c>
      <c r="G402" s="651">
        <v>60</v>
      </c>
      <c r="H402" s="1266">
        <v>349</v>
      </c>
      <c r="I402" s="652">
        <v>190</v>
      </c>
      <c r="J402" s="650">
        <v>190</v>
      </c>
      <c r="K402" s="650">
        <v>380</v>
      </c>
    </row>
    <row r="403" spans="1:11" ht="20.100000000000001" customHeight="1">
      <c r="A403" s="927" t="s">
        <v>336</v>
      </c>
      <c r="B403" s="927" t="s">
        <v>330</v>
      </c>
      <c r="C403" s="927" t="s">
        <v>8</v>
      </c>
      <c r="D403" s="927" t="s">
        <v>111</v>
      </c>
      <c r="E403" s="927" t="s">
        <v>108</v>
      </c>
      <c r="F403" s="650" t="s">
        <v>335</v>
      </c>
      <c r="G403" s="651">
        <v>510</v>
      </c>
      <c r="H403" s="1266">
        <v>2701</v>
      </c>
      <c r="I403" s="652">
        <v>116</v>
      </c>
      <c r="J403" s="650">
        <v>116</v>
      </c>
      <c r="K403" s="650">
        <v>233</v>
      </c>
    </row>
    <row r="404" spans="1:11" ht="20.100000000000001" customHeight="1">
      <c r="A404" s="927" t="s">
        <v>614</v>
      </c>
      <c r="B404" s="927" t="s">
        <v>330</v>
      </c>
      <c r="C404" s="927" t="s">
        <v>8</v>
      </c>
      <c r="D404" s="927" t="s">
        <v>111</v>
      </c>
      <c r="E404" s="927" t="s">
        <v>108</v>
      </c>
      <c r="F404" s="650" t="s">
        <v>332</v>
      </c>
      <c r="G404" s="651">
        <v>132</v>
      </c>
      <c r="H404" s="1266">
        <v>572</v>
      </c>
      <c r="I404" s="652">
        <v>310</v>
      </c>
      <c r="J404" s="650">
        <v>310</v>
      </c>
      <c r="K404" s="650">
        <v>620</v>
      </c>
    </row>
    <row r="405" spans="1:11" ht="20.100000000000001" customHeight="1">
      <c r="A405" s="927" t="s">
        <v>868</v>
      </c>
      <c r="B405" s="927" t="s">
        <v>330</v>
      </c>
      <c r="C405" s="927" t="s">
        <v>8</v>
      </c>
      <c r="D405" s="927" t="s">
        <v>111</v>
      </c>
      <c r="E405" s="927" t="s">
        <v>108</v>
      </c>
      <c r="F405" s="650" t="s">
        <v>332</v>
      </c>
      <c r="G405" s="651">
        <v>160</v>
      </c>
      <c r="H405" s="1266">
        <v>708</v>
      </c>
      <c r="I405" s="652">
        <v>144</v>
      </c>
      <c r="J405" s="650">
        <v>144</v>
      </c>
      <c r="K405" s="650">
        <v>289</v>
      </c>
    </row>
    <row r="406" spans="1:11" ht="20.100000000000001" customHeight="1">
      <c r="A406" s="927" t="s">
        <v>1134</v>
      </c>
      <c r="B406" s="927" t="s">
        <v>259</v>
      </c>
      <c r="C406" s="927" t="s">
        <v>8</v>
      </c>
      <c r="D406" s="927" t="s">
        <v>119</v>
      </c>
      <c r="E406" s="927" t="s">
        <v>124</v>
      </c>
      <c r="F406" s="650" t="s">
        <v>268</v>
      </c>
      <c r="G406" s="651">
        <v>2400</v>
      </c>
      <c r="H406" s="1266">
        <v>6745</v>
      </c>
      <c r="I406" s="652">
        <v>155</v>
      </c>
      <c r="J406" s="650">
        <v>371</v>
      </c>
      <c r="K406" s="650">
        <v>526</v>
      </c>
    </row>
    <row r="407" spans="1:11" ht="20.100000000000001" customHeight="1">
      <c r="A407" s="650" t="s">
        <v>337</v>
      </c>
      <c r="B407" s="927" t="s">
        <v>330</v>
      </c>
      <c r="C407" s="927" t="s">
        <v>8</v>
      </c>
      <c r="D407" s="927" t="s">
        <v>119</v>
      </c>
      <c r="E407" s="927" t="s">
        <v>124</v>
      </c>
      <c r="F407" s="650" t="s">
        <v>332</v>
      </c>
      <c r="G407" s="651">
        <v>1600</v>
      </c>
      <c r="H407" s="1266">
        <v>10579</v>
      </c>
      <c r="I407" s="652">
        <v>83</v>
      </c>
      <c r="J407" s="650">
        <v>240</v>
      </c>
      <c r="K407" s="650">
        <v>323</v>
      </c>
    </row>
    <row r="408" spans="1:11" ht="20.100000000000001" customHeight="1">
      <c r="A408" s="927" t="s">
        <v>338</v>
      </c>
      <c r="B408" s="927" t="s">
        <v>330</v>
      </c>
      <c r="C408" s="927" t="s">
        <v>8</v>
      </c>
      <c r="D408" s="927" t="s">
        <v>119</v>
      </c>
      <c r="E408" s="927" t="s">
        <v>124</v>
      </c>
      <c r="F408" s="650" t="s">
        <v>332</v>
      </c>
      <c r="G408" s="651">
        <v>500</v>
      </c>
      <c r="H408" s="1266">
        <v>3371</v>
      </c>
      <c r="I408" s="652">
        <v>150</v>
      </c>
      <c r="J408" s="650">
        <v>241</v>
      </c>
      <c r="K408" s="650">
        <v>391</v>
      </c>
    </row>
    <row r="409" spans="1:11" ht="20.100000000000001" customHeight="1">
      <c r="A409" s="650" t="s">
        <v>869</v>
      </c>
      <c r="B409" s="927" t="s">
        <v>330</v>
      </c>
      <c r="C409" s="927" t="s">
        <v>8</v>
      </c>
      <c r="D409" s="927" t="s">
        <v>119</v>
      </c>
      <c r="E409" s="927" t="s">
        <v>124</v>
      </c>
      <c r="F409" s="650" t="s">
        <v>376</v>
      </c>
      <c r="G409" s="651">
        <v>750</v>
      </c>
      <c r="H409" s="1266">
        <v>2259</v>
      </c>
      <c r="I409" s="652">
        <v>244</v>
      </c>
      <c r="J409" s="650">
        <v>306</v>
      </c>
      <c r="K409" s="650">
        <v>550</v>
      </c>
    </row>
    <row r="410" spans="1:11" ht="20.100000000000001" customHeight="1">
      <c r="A410" s="650" t="s">
        <v>1464</v>
      </c>
      <c r="B410" s="927" t="s">
        <v>330</v>
      </c>
      <c r="C410" s="927" t="s">
        <v>8</v>
      </c>
      <c r="D410" s="927" t="s">
        <v>119</v>
      </c>
      <c r="E410" s="927" t="s">
        <v>124</v>
      </c>
      <c r="F410" s="650" t="s">
        <v>339</v>
      </c>
      <c r="G410" s="651">
        <v>840</v>
      </c>
      <c r="H410" s="1266">
        <v>5429</v>
      </c>
      <c r="I410" s="652">
        <v>107</v>
      </c>
      <c r="J410" s="650">
        <v>225</v>
      </c>
      <c r="K410" s="650">
        <v>332</v>
      </c>
    </row>
    <row r="411" spans="1:11" ht="20.100000000000001" customHeight="1">
      <c r="A411" s="650" t="s">
        <v>1465</v>
      </c>
      <c r="B411" s="927" t="s">
        <v>330</v>
      </c>
      <c r="C411" s="927" t="s">
        <v>8</v>
      </c>
      <c r="D411" s="927" t="s">
        <v>119</v>
      </c>
      <c r="E411" s="927" t="s">
        <v>124</v>
      </c>
      <c r="F411" s="650" t="s">
        <v>339</v>
      </c>
      <c r="G411" s="651">
        <v>1500</v>
      </c>
      <c r="H411" s="1266">
        <v>9697</v>
      </c>
      <c r="I411" s="652">
        <v>110</v>
      </c>
      <c r="J411" s="650">
        <v>215</v>
      </c>
      <c r="K411" s="650">
        <v>325</v>
      </c>
    </row>
    <row r="412" spans="1:11" ht="20.100000000000001" customHeight="1">
      <c r="A412" s="650" t="s">
        <v>615</v>
      </c>
      <c r="B412" s="927" t="s">
        <v>330</v>
      </c>
      <c r="C412" s="927" t="s">
        <v>8</v>
      </c>
      <c r="D412" s="927" t="s">
        <v>119</v>
      </c>
      <c r="E412" s="927" t="s">
        <v>124</v>
      </c>
      <c r="F412" s="650" t="s">
        <v>339</v>
      </c>
      <c r="G412" s="651">
        <v>1320</v>
      </c>
      <c r="H412" s="1266">
        <v>9348</v>
      </c>
      <c r="I412" s="652">
        <v>186</v>
      </c>
      <c r="J412" s="650">
        <v>214</v>
      </c>
      <c r="K412" s="650">
        <v>400</v>
      </c>
    </row>
    <row r="413" spans="1:11" ht="20.100000000000001" customHeight="1">
      <c r="A413" s="650" t="s">
        <v>340</v>
      </c>
      <c r="B413" s="927" t="s">
        <v>330</v>
      </c>
      <c r="C413" s="927" t="s">
        <v>8</v>
      </c>
      <c r="D413" s="927" t="s">
        <v>119</v>
      </c>
      <c r="E413" s="927" t="s">
        <v>124</v>
      </c>
      <c r="F413" s="650" t="s">
        <v>345</v>
      </c>
      <c r="G413" s="651">
        <v>460</v>
      </c>
      <c r="H413" s="1266">
        <v>3215</v>
      </c>
      <c r="I413" s="652">
        <v>145</v>
      </c>
      <c r="J413" s="650">
        <v>173</v>
      </c>
      <c r="K413" s="650">
        <v>318</v>
      </c>
    </row>
    <row r="414" spans="1:11" ht="20.100000000000001" customHeight="1">
      <c r="A414" s="650" t="s">
        <v>341</v>
      </c>
      <c r="B414" s="927" t="s">
        <v>330</v>
      </c>
      <c r="C414" s="927" t="s">
        <v>8</v>
      </c>
      <c r="D414" s="927" t="s">
        <v>119</v>
      </c>
      <c r="E414" s="927" t="s">
        <v>124</v>
      </c>
      <c r="F414" s="650" t="s">
        <v>345</v>
      </c>
      <c r="G414" s="651">
        <v>1000</v>
      </c>
      <c r="H414" s="1266">
        <v>6440</v>
      </c>
      <c r="I414" s="652">
        <v>96</v>
      </c>
      <c r="J414" s="650">
        <v>174</v>
      </c>
      <c r="K414" s="650">
        <v>270</v>
      </c>
    </row>
    <row r="415" spans="1:11" ht="20.100000000000001" customHeight="1">
      <c r="A415" s="650" t="s">
        <v>342</v>
      </c>
      <c r="B415" s="927" t="s">
        <v>330</v>
      </c>
      <c r="C415" s="927" t="s">
        <v>8</v>
      </c>
      <c r="D415" s="927" t="s">
        <v>119</v>
      </c>
      <c r="E415" s="927" t="s">
        <v>124</v>
      </c>
      <c r="F415" s="650" t="s">
        <v>345</v>
      </c>
      <c r="G415" s="651">
        <v>2000</v>
      </c>
      <c r="H415" s="1266">
        <v>13349</v>
      </c>
      <c r="I415" s="652">
        <v>72</v>
      </c>
      <c r="J415" s="650">
        <v>172</v>
      </c>
      <c r="K415" s="650">
        <v>244</v>
      </c>
    </row>
    <row r="416" spans="1:11" ht="20.100000000000001" customHeight="1">
      <c r="A416" s="650" t="s">
        <v>1173</v>
      </c>
      <c r="B416" s="927" t="s">
        <v>330</v>
      </c>
      <c r="C416" s="927" t="s">
        <v>10</v>
      </c>
      <c r="D416" s="927" t="s">
        <v>1151</v>
      </c>
      <c r="E416" s="927" t="s">
        <v>274</v>
      </c>
      <c r="F416" s="650" t="s">
        <v>1151</v>
      </c>
      <c r="G416" s="651">
        <v>5</v>
      </c>
      <c r="H416" s="1266">
        <v>41.64</v>
      </c>
      <c r="I416" s="652">
        <v>0</v>
      </c>
      <c r="J416" s="650">
        <v>0</v>
      </c>
      <c r="K416" s="650">
        <v>615</v>
      </c>
    </row>
    <row r="417" spans="1:11" ht="20.100000000000001" customHeight="1">
      <c r="A417" s="650" t="s">
        <v>1174</v>
      </c>
      <c r="B417" s="927" t="s">
        <v>330</v>
      </c>
      <c r="C417" s="927" t="s">
        <v>10</v>
      </c>
      <c r="D417" s="927" t="s">
        <v>1151</v>
      </c>
      <c r="E417" s="927" t="s">
        <v>274</v>
      </c>
      <c r="F417" s="650" t="s">
        <v>1151</v>
      </c>
      <c r="G417" s="651">
        <v>16</v>
      </c>
      <c r="H417" s="1266">
        <v>79.22</v>
      </c>
      <c r="I417" s="652">
        <v>0</v>
      </c>
      <c r="J417" s="650">
        <v>0</v>
      </c>
      <c r="K417" s="650">
        <v>615</v>
      </c>
    </row>
    <row r="418" spans="1:11" ht="20.100000000000001" customHeight="1">
      <c r="A418" s="650" t="s">
        <v>1150</v>
      </c>
      <c r="B418" s="927" t="s">
        <v>330</v>
      </c>
      <c r="C418" s="927" t="s">
        <v>8</v>
      </c>
      <c r="D418" s="927" t="s">
        <v>1151</v>
      </c>
      <c r="E418" s="927" t="s">
        <v>274</v>
      </c>
      <c r="F418" s="650" t="s">
        <v>1151</v>
      </c>
      <c r="G418" s="651">
        <v>15</v>
      </c>
      <c r="H418" s="1266">
        <v>17.309999999999999</v>
      </c>
      <c r="I418" s="652">
        <v>0</v>
      </c>
      <c r="J418" s="650">
        <v>0</v>
      </c>
      <c r="K418" s="650">
        <v>615</v>
      </c>
    </row>
    <row r="419" spans="1:11" ht="20.100000000000001" customHeight="1">
      <c r="A419" s="932" t="s">
        <v>1152</v>
      </c>
      <c r="B419" s="927" t="s">
        <v>330</v>
      </c>
      <c r="C419" s="927" t="s">
        <v>8</v>
      </c>
      <c r="D419" s="927" t="s">
        <v>1151</v>
      </c>
      <c r="E419" s="927" t="s">
        <v>274</v>
      </c>
      <c r="F419" s="650" t="s">
        <v>1151</v>
      </c>
      <c r="G419" s="651">
        <v>9.8000000000000007</v>
      </c>
      <c r="H419" s="1266">
        <v>22.59</v>
      </c>
      <c r="I419" s="652">
        <v>0</v>
      </c>
      <c r="J419" s="650">
        <v>0</v>
      </c>
      <c r="K419" s="650">
        <v>615</v>
      </c>
    </row>
    <row r="420" spans="1:11" ht="20.100000000000001" customHeight="1">
      <c r="A420" s="650" t="s">
        <v>1153</v>
      </c>
      <c r="B420" s="927" t="s">
        <v>330</v>
      </c>
      <c r="C420" s="927" t="s">
        <v>8</v>
      </c>
      <c r="D420" s="927" t="s">
        <v>1151</v>
      </c>
      <c r="E420" s="927" t="s">
        <v>274</v>
      </c>
      <c r="F420" s="650" t="s">
        <v>1151</v>
      </c>
      <c r="G420" s="651">
        <v>0.51200000000000001</v>
      </c>
      <c r="H420" s="1266">
        <v>0.06</v>
      </c>
      <c r="I420" s="652">
        <v>0</v>
      </c>
      <c r="J420" s="650">
        <v>0</v>
      </c>
      <c r="K420" s="650">
        <v>615</v>
      </c>
    </row>
    <row r="421" spans="1:11" ht="20.100000000000001" customHeight="1">
      <c r="A421" s="1271" t="s">
        <v>1154</v>
      </c>
      <c r="B421" s="927" t="s">
        <v>330</v>
      </c>
      <c r="C421" s="927" t="s">
        <v>8</v>
      </c>
      <c r="D421" s="927" t="s">
        <v>1151</v>
      </c>
      <c r="E421" s="927" t="s">
        <v>274</v>
      </c>
      <c r="F421" s="650" t="s">
        <v>1151</v>
      </c>
      <c r="G421" s="651">
        <v>0.51200000000000001</v>
      </c>
      <c r="H421" s="1266">
        <v>7.0000000000000001E-3</v>
      </c>
      <c r="I421" s="652">
        <v>0</v>
      </c>
      <c r="J421" s="650">
        <v>0</v>
      </c>
      <c r="K421" s="650">
        <v>615</v>
      </c>
    </row>
    <row r="422" spans="1:11" ht="20.100000000000001" customHeight="1">
      <c r="A422" s="650" t="s">
        <v>1155</v>
      </c>
      <c r="B422" s="927" t="s">
        <v>330</v>
      </c>
      <c r="C422" s="927" t="s">
        <v>10</v>
      </c>
      <c r="D422" s="927" t="s">
        <v>1151</v>
      </c>
      <c r="E422" s="927" t="s">
        <v>274</v>
      </c>
      <c r="F422" s="650" t="s">
        <v>1151</v>
      </c>
      <c r="G422" s="651">
        <v>0.96</v>
      </c>
      <c r="H422" s="1266">
        <v>3.6</v>
      </c>
      <c r="I422" s="652">
        <v>0</v>
      </c>
      <c r="J422" s="650">
        <v>0</v>
      </c>
      <c r="K422" s="650">
        <v>615</v>
      </c>
    </row>
    <row r="423" spans="1:11" ht="20.100000000000001" customHeight="1">
      <c r="A423" s="650" t="s">
        <v>1155</v>
      </c>
      <c r="B423" s="927" t="s">
        <v>330</v>
      </c>
      <c r="C423" s="927" t="s">
        <v>8</v>
      </c>
      <c r="D423" s="927" t="s">
        <v>1151</v>
      </c>
      <c r="E423" s="927" t="s">
        <v>274</v>
      </c>
      <c r="F423" s="650" t="s">
        <v>1151</v>
      </c>
      <c r="G423" s="651">
        <v>1.1520000000000001</v>
      </c>
      <c r="H423" s="1266">
        <v>0.47</v>
      </c>
      <c r="I423" s="652">
        <v>0</v>
      </c>
      <c r="J423" s="650">
        <v>0</v>
      </c>
      <c r="K423" s="650">
        <v>615</v>
      </c>
    </row>
    <row r="424" spans="1:11" ht="20.100000000000001" customHeight="1">
      <c r="A424" s="927" t="s">
        <v>1175</v>
      </c>
      <c r="B424" s="927" t="s">
        <v>330</v>
      </c>
      <c r="C424" s="927" t="s">
        <v>1466</v>
      </c>
      <c r="D424" s="927" t="s">
        <v>1151</v>
      </c>
      <c r="E424" s="927" t="s">
        <v>274</v>
      </c>
      <c r="F424" s="927" t="s">
        <v>1151</v>
      </c>
      <c r="G424" s="652">
        <v>4.28</v>
      </c>
      <c r="H424" s="652">
        <v>11.67</v>
      </c>
      <c r="I424" s="652">
        <v>0</v>
      </c>
      <c r="J424" s="650">
        <v>0</v>
      </c>
      <c r="K424" s="650">
        <v>615</v>
      </c>
    </row>
    <row r="425" spans="1:11" ht="20.100000000000001" customHeight="1">
      <c r="A425" s="927" t="s">
        <v>1467</v>
      </c>
      <c r="B425" s="927" t="s">
        <v>330</v>
      </c>
      <c r="C425" s="927" t="s">
        <v>10</v>
      </c>
      <c r="D425" s="927" t="s">
        <v>1151</v>
      </c>
      <c r="E425" s="927" t="s">
        <v>274</v>
      </c>
      <c r="F425" s="650" t="s">
        <v>1151</v>
      </c>
      <c r="G425" s="651">
        <v>7</v>
      </c>
      <c r="H425" s="1266">
        <v>43.07</v>
      </c>
      <c r="I425" s="652">
        <v>0</v>
      </c>
      <c r="J425" s="650">
        <v>0</v>
      </c>
      <c r="K425" s="650">
        <v>615</v>
      </c>
    </row>
    <row r="426" spans="1:11" ht="20.100000000000001" customHeight="1">
      <c r="A426" s="927" t="s">
        <v>1468</v>
      </c>
      <c r="B426" s="927" t="s">
        <v>330</v>
      </c>
      <c r="C426" s="927" t="s">
        <v>10</v>
      </c>
      <c r="D426" s="927" t="s">
        <v>1151</v>
      </c>
      <c r="E426" s="927" t="s">
        <v>274</v>
      </c>
      <c r="F426" s="927" t="s">
        <v>1151</v>
      </c>
      <c r="G426" s="652">
        <v>11.2</v>
      </c>
      <c r="H426" s="652">
        <v>31.92</v>
      </c>
      <c r="I426" s="652">
        <v>0</v>
      </c>
      <c r="J426" s="650">
        <v>0</v>
      </c>
      <c r="K426" s="650">
        <v>615</v>
      </c>
    </row>
    <row r="427" spans="1:11" ht="20.100000000000001" customHeight="1">
      <c r="A427" s="927" t="s">
        <v>1156</v>
      </c>
      <c r="B427" s="927" t="s">
        <v>330</v>
      </c>
      <c r="C427" s="927" t="s">
        <v>8</v>
      </c>
      <c r="D427" s="927" t="s">
        <v>1151</v>
      </c>
      <c r="E427" s="927" t="s">
        <v>274</v>
      </c>
      <c r="F427" s="927" t="s">
        <v>1151</v>
      </c>
      <c r="G427" s="652">
        <v>2.4E-2</v>
      </c>
      <c r="H427" s="652">
        <v>0.03</v>
      </c>
      <c r="I427" s="652">
        <v>0</v>
      </c>
      <c r="J427" s="650">
        <v>0</v>
      </c>
      <c r="K427" s="650">
        <v>615</v>
      </c>
    </row>
    <row r="428" spans="1:11" ht="20.100000000000001" customHeight="1">
      <c r="A428" s="927" t="s">
        <v>1157</v>
      </c>
      <c r="B428" s="927" t="s">
        <v>330</v>
      </c>
      <c r="C428" s="927" t="s">
        <v>8</v>
      </c>
      <c r="D428" s="927" t="s">
        <v>1151</v>
      </c>
      <c r="E428" s="927" t="s">
        <v>274</v>
      </c>
      <c r="F428" s="927" t="s">
        <v>1151</v>
      </c>
      <c r="G428" s="652">
        <v>0.51200000000000001</v>
      </c>
      <c r="H428" s="652">
        <v>0.56000000000000005</v>
      </c>
      <c r="I428" s="652">
        <v>0</v>
      </c>
      <c r="J428" s="650">
        <v>0</v>
      </c>
      <c r="K428" s="650">
        <v>615</v>
      </c>
    </row>
    <row r="429" spans="1:11" ht="20.100000000000001" customHeight="1">
      <c r="A429" s="927" t="s">
        <v>1158</v>
      </c>
      <c r="B429" s="927" t="s">
        <v>330</v>
      </c>
      <c r="C429" s="927" t="s">
        <v>8</v>
      </c>
      <c r="D429" s="927" t="s">
        <v>1151</v>
      </c>
      <c r="E429" s="927" t="s">
        <v>274</v>
      </c>
      <c r="F429" s="927" t="s">
        <v>1151</v>
      </c>
      <c r="G429" s="652">
        <v>8.1999999999999993</v>
      </c>
      <c r="H429" s="652">
        <v>25.61</v>
      </c>
      <c r="I429" s="652">
        <v>0</v>
      </c>
      <c r="J429" s="650">
        <v>0</v>
      </c>
      <c r="K429" s="650">
        <v>615</v>
      </c>
    </row>
    <row r="430" spans="1:11" ht="20.100000000000001" customHeight="1">
      <c r="A430" s="927" t="s">
        <v>1159</v>
      </c>
      <c r="B430" s="927" t="s">
        <v>330</v>
      </c>
      <c r="C430" s="927" t="s">
        <v>8</v>
      </c>
      <c r="D430" s="927" t="s">
        <v>1151</v>
      </c>
      <c r="E430" s="927" t="s">
        <v>274</v>
      </c>
      <c r="F430" s="927" t="s">
        <v>1151</v>
      </c>
      <c r="G430" s="652">
        <v>0.64</v>
      </c>
      <c r="H430" s="652">
        <v>0.45</v>
      </c>
      <c r="I430" s="652">
        <v>0</v>
      </c>
      <c r="J430" s="650">
        <v>0</v>
      </c>
      <c r="K430" s="650">
        <v>615</v>
      </c>
    </row>
    <row r="431" spans="1:11" ht="20.100000000000001" customHeight="1">
      <c r="A431" s="927" t="s">
        <v>1469</v>
      </c>
      <c r="B431" s="927" t="s">
        <v>330</v>
      </c>
      <c r="C431" s="927" t="s">
        <v>8</v>
      </c>
      <c r="D431" s="927" t="s">
        <v>1151</v>
      </c>
      <c r="E431" s="927" t="s">
        <v>274</v>
      </c>
      <c r="F431" s="927" t="s">
        <v>1151</v>
      </c>
      <c r="G431" s="652">
        <v>1.4999999999999999E-2</v>
      </c>
      <c r="H431" s="652">
        <v>0.06</v>
      </c>
      <c r="I431" s="652">
        <v>0</v>
      </c>
      <c r="J431" s="650">
        <v>0</v>
      </c>
      <c r="K431" s="650">
        <v>615</v>
      </c>
    </row>
    <row r="432" spans="1:11" ht="20.100000000000001" customHeight="1">
      <c r="A432" s="927" t="s">
        <v>1160</v>
      </c>
      <c r="B432" s="927" t="s">
        <v>330</v>
      </c>
      <c r="C432" s="927" t="s">
        <v>8</v>
      </c>
      <c r="D432" s="927" t="s">
        <v>1151</v>
      </c>
      <c r="E432" s="927" t="s">
        <v>274</v>
      </c>
      <c r="F432" s="927" t="s">
        <v>1151</v>
      </c>
      <c r="G432" s="652">
        <v>2.7E-2</v>
      </c>
      <c r="H432" s="652">
        <v>0.02</v>
      </c>
      <c r="I432" s="652">
        <v>0</v>
      </c>
      <c r="J432" s="650">
        <v>0</v>
      </c>
      <c r="K432" s="650">
        <v>615</v>
      </c>
    </row>
    <row r="433" spans="1:11" ht="20.100000000000001" customHeight="1">
      <c r="A433" s="927" t="s">
        <v>1161</v>
      </c>
      <c r="B433" s="927" t="s">
        <v>330</v>
      </c>
      <c r="C433" s="927" t="s">
        <v>10</v>
      </c>
      <c r="D433" s="927" t="s">
        <v>1151</v>
      </c>
      <c r="E433" s="927" t="s">
        <v>274</v>
      </c>
      <c r="F433" s="927" t="s">
        <v>1151</v>
      </c>
      <c r="G433" s="652">
        <v>0.04</v>
      </c>
      <c r="H433" s="652">
        <v>0.1</v>
      </c>
      <c r="I433" s="652">
        <v>0</v>
      </c>
      <c r="J433" s="650">
        <v>0</v>
      </c>
      <c r="K433" s="650">
        <v>615</v>
      </c>
    </row>
    <row r="434" spans="1:11" ht="20.100000000000001" customHeight="1">
      <c r="A434" s="1267" t="s">
        <v>1162</v>
      </c>
      <c r="B434" s="927" t="s">
        <v>330</v>
      </c>
      <c r="C434" s="927" t="s">
        <v>8</v>
      </c>
      <c r="D434" s="927" t="s">
        <v>1151</v>
      </c>
      <c r="E434" s="927" t="s">
        <v>274</v>
      </c>
      <c r="F434" s="927" t="s">
        <v>1151</v>
      </c>
      <c r="G434" s="652">
        <v>2.3679999999999999</v>
      </c>
      <c r="H434" s="652">
        <v>3.86</v>
      </c>
      <c r="I434" s="652">
        <v>0</v>
      </c>
      <c r="J434" s="650">
        <v>0</v>
      </c>
      <c r="K434" s="650">
        <v>615</v>
      </c>
    </row>
    <row r="435" spans="1:11" ht="20.100000000000001" customHeight="1">
      <c r="A435" s="927" t="s">
        <v>1163</v>
      </c>
      <c r="B435" s="927" t="s">
        <v>330</v>
      </c>
      <c r="C435" s="927" t="s">
        <v>8</v>
      </c>
      <c r="D435" s="927" t="s">
        <v>1151</v>
      </c>
      <c r="E435" s="927" t="s">
        <v>108</v>
      </c>
      <c r="F435" s="927" t="s">
        <v>1151</v>
      </c>
      <c r="G435" s="652">
        <v>5.25</v>
      </c>
      <c r="H435" s="652">
        <v>16.559999999999999</v>
      </c>
      <c r="I435" s="652">
        <v>0</v>
      </c>
      <c r="J435" s="650">
        <v>0</v>
      </c>
      <c r="K435" s="650">
        <v>615</v>
      </c>
    </row>
    <row r="436" spans="1:11" ht="20.100000000000001" customHeight="1">
      <c r="A436" s="927" t="s">
        <v>1164</v>
      </c>
      <c r="B436" s="927" t="s">
        <v>330</v>
      </c>
      <c r="C436" s="927" t="s">
        <v>8</v>
      </c>
      <c r="D436" s="927" t="s">
        <v>1151</v>
      </c>
      <c r="E436" s="927" t="s">
        <v>274</v>
      </c>
      <c r="F436" s="927" t="s">
        <v>1151</v>
      </c>
      <c r="G436" s="652">
        <v>3.2559999999999998</v>
      </c>
      <c r="H436" s="652">
        <v>10.71</v>
      </c>
      <c r="I436" s="652">
        <v>0</v>
      </c>
      <c r="J436" s="650">
        <v>0</v>
      </c>
      <c r="K436" s="650">
        <v>615</v>
      </c>
    </row>
    <row r="437" spans="1:11" ht="20.100000000000001" customHeight="1">
      <c r="A437" s="1267" t="s">
        <v>1165</v>
      </c>
      <c r="B437" s="1267" t="s">
        <v>330</v>
      </c>
      <c r="C437" s="1267" t="s">
        <v>8</v>
      </c>
      <c r="D437" s="1267" t="s">
        <v>1151</v>
      </c>
      <c r="E437" s="1267" t="s">
        <v>274</v>
      </c>
      <c r="F437" s="1267" t="s">
        <v>1151</v>
      </c>
      <c r="G437" s="1269">
        <v>4.7E-2</v>
      </c>
      <c r="H437" s="1269">
        <v>0.06</v>
      </c>
      <c r="I437" s="1269">
        <v>0</v>
      </c>
      <c r="J437" s="650">
        <v>0</v>
      </c>
      <c r="K437" s="650">
        <v>615</v>
      </c>
    </row>
    <row r="438" spans="1:11" ht="20.100000000000001" customHeight="1">
      <c r="A438" s="927" t="s">
        <v>1166</v>
      </c>
      <c r="B438" s="927" t="s">
        <v>330</v>
      </c>
      <c r="C438" s="927" t="s">
        <v>8</v>
      </c>
      <c r="D438" s="927" t="s">
        <v>1151</v>
      </c>
      <c r="E438" s="927" t="s">
        <v>274</v>
      </c>
      <c r="F438" s="927" t="s">
        <v>1151</v>
      </c>
      <c r="G438" s="652">
        <v>4.3840000000000003</v>
      </c>
      <c r="H438" s="652">
        <v>8.02</v>
      </c>
      <c r="I438" s="652">
        <v>0</v>
      </c>
      <c r="J438" s="650">
        <v>0</v>
      </c>
      <c r="K438" s="650">
        <v>615</v>
      </c>
    </row>
    <row r="439" spans="1:11" ht="25.5" customHeight="1">
      <c r="A439" s="930" t="s">
        <v>1470</v>
      </c>
      <c r="B439" s="930" t="s">
        <v>330</v>
      </c>
      <c r="C439" s="930" t="s">
        <v>8</v>
      </c>
      <c r="D439" s="930" t="s">
        <v>1151</v>
      </c>
      <c r="E439" s="930" t="s">
        <v>274</v>
      </c>
      <c r="F439" s="930" t="s">
        <v>1151</v>
      </c>
      <c r="G439" s="1275">
        <v>1.627</v>
      </c>
      <c r="H439" s="1275">
        <v>2.84</v>
      </c>
      <c r="I439" s="1272">
        <v>0</v>
      </c>
      <c r="J439" s="650">
        <v>0</v>
      </c>
      <c r="K439" s="650">
        <v>615</v>
      </c>
    </row>
    <row r="440" spans="1:11" ht="20.100000000000001" customHeight="1">
      <c r="A440" s="930" t="s">
        <v>1167</v>
      </c>
      <c r="B440" s="930" t="s">
        <v>330</v>
      </c>
      <c r="C440" s="930" t="s">
        <v>8</v>
      </c>
      <c r="D440" s="930" t="s">
        <v>1151</v>
      </c>
      <c r="E440" s="927" t="s">
        <v>274</v>
      </c>
      <c r="F440" s="930" t="s">
        <v>1151</v>
      </c>
      <c r="G440" s="1275">
        <v>0.51200000000000001</v>
      </c>
      <c r="H440" s="1275">
        <v>0.18</v>
      </c>
      <c r="I440" s="1269">
        <v>0</v>
      </c>
      <c r="J440" s="650">
        <v>0</v>
      </c>
      <c r="K440" s="650">
        <v>615</v>
      </c>
    </row>
    <row r="441" spans="1:11" ht="20.100000000000001" customHeight="1">
      <c r="A441" s="930" t="s">
        <v>1168</v>
      </c>
      <c r="B441" s="930" t="s">
        <v>330</v>
      </c>
      <c r="C441" s="930" t="s">
        <v>8</v>
      </c>
      <c r="D441" s="930" t="s">
        <v>1151</v>
      </c>
      <c r="E441" s="927" t="s">
        <v>274</v>
      </c>
      <c r="F441" s="930" t="s">
        <v>1151</v>
      </c>
      <c r="G441" s="1275">
        <v>1.012</v>
      </c>
      <c r="H441" s="1275">
        <v>0.84</v>
      </c>
      <c r="I441" s="1269">
        <v>0</v>
      </c>
      <c r="J441" s="650">
        <v>0</v>
      </c>
      <c r="K441" s="650">
        <v>615</v>
      </c>
    </row>
    <row r="442" spans="1:11" ht="20.100000000000001" customHeight="1">
      <c r="A442" s="927" t="s">
        <v>1169</v>
      </c>
      <c r="B442" s="927" t="s">
        <v>330</v>
      </c>
      <c r="C442" s="927" t="s">
        <v>8</v>
      </c>
      <c r="D442" s="927" t="s">
        <v>1151</v>
      </c>
      <c r="E442" s="927" t="s">
        <v>274</v>
      </c>
      <c r="F442" s="927" t="s">
        <v>1151</v>
      </c>
      <c r="G442" s="652">
        <v>0.61199999999999999</v>
      </c>
      <c r="H442" s="652">
        <v>0.66</v>
      </c>
      <c r="I442" s="652">
        <v>0</v>
      </c>
      <c r="J442" s="650">
        <v>0</v>
      </c>
      <c r="K442" s="650">
        <v>615</v>
      </c>
    </row>
    <row r="443" spans="1:11" ht="20.100000000000001" customHeight="1">
      <c r="A443" s="927" t="s">
        <v>1471</v>
      </c>
      <c r="B443" s="927" t="s">
        <v>330</v>
      </c>
      <c r="C443" s="927" t="s">
        <v>8</v>
      </c>
      <c r="D443" s="927" t="s">
        <v>1151</v>
      </c>
      <c r="E443" s="650" t="s">
        <v>274</v>
      </c>
      <c r="F443" s="927" t="s">
        <v>1151</v>
      </c>
      <c r="G443" s="652">
        <v>0.2</v>
      </c>
      <c r="H443" s="652">
        <v>0.21</v>
      </c>
      <c r="I443" s="652">
        <v>0</v>
      </c>
      <c r="J443" s="650">
        <v>0</v>
      </c>
      <c r="K443" s="650">
        <v>615</v>
      </c>
    </row>
    <row r="444" spans="1:11" ht="25.5" customHeight="1">
      <c r="A444" s="927" t="s">
        <v>1170</v>
      </c>
      <c r="B444" s="927" t="s">
        <v>330</v>
      </c>
      <c r="C444" s="927" t="s">
        <v>8</v>
      </c>
      <c r="D444" s="927" t="s">
        <v>1151</v>
      </c>
      <c r="E444" s="650" t="s">
        <v>274</v>
      </c>
      <c r="F444" s="927" t="s">
        <v>1151</v>
      </c>
      <c r="G444" s="652">
        <v>3.25</v>
      </c>
      <c r="H444" s="652">
        <v>4.87</v>
      </c>
      <c r="I444" s="652">
        <v>0</v>
      </c>
      <c r="J444" s="650">
        <v>0</v>
      </c>
      <c r="K444" s="650">
        <v>615</v>
      </c>
    </row>
    <row r="445" spans="1:11" ht="20.100000000000001" customHeight="1">
      <c r="A445" s="927" t="s">
        <v>1176</v>
      </c>
      <c r="B445" s="927" t="s">
        <v>330</v>
      </c>
      <c r="C445" s="927" t="s">
        <v>10</v>
      </c>
      <c r="D445" s="927" t="s">
        <v>1151</v>
      </c>
      <c r="E445" s="650" t="s">
        <v>274</v>
      </c>
      <c r="F445" s="927" t="s">
        <v>1151</v>
      </c>
      <c r="G445" s="652">
        <v>0.06</v>
      </c>
      <c r="H445" s="652">
        <v>0.14000000000000001</v>
      </c>
      <c r="I445" s="652">
        <v>0</v>
      </c>
      <c r="J445" s="650">
        <v>0</v>
      </c>
      <c r="K445" s="650">
        <v>615</v>
      </c>
    </row>
    <row r="446" spans="1:11" ht="20.100000000000001" customHeight="1">
      <c r="A446" s="1267" t="s">
        <v>1177</v>
      </c>
      <c r="B446" s="1267" t="s">
        <v>330</v>
      </c>
      <c r="C446" s="1267" t="s">
        <v>10</v>
      </c>
      <c r="D446" s="1267" t="s">
        <v>1151</v>
      </c>
      <c r="E446" s="1267" t="s">
        <v>274</v>
      </c>
      <c r="F446" s="1267" t="s">
        <v>1151</v>
      </c>
      <c r="G446" s="1269">
        <v>6.5000000000000002E-2</v>
      </c>
      <c r="H446" s="1269">
        <v>7.0000000000000007E-2</v>
      </c>
      <c r="I446" s="1269">
        <v>0</v>
      </c>
      <c r="J446" s="650">
        <v>0</v>
      </c>
      <c r="K446" s="650">
        <v>615</v>
      </c>
    </row>
    <row r="447" spans="1:11" ht="20.100000000000001" customHeight="1">
      <c r="A447" s="1267" t="s">
        <v>1178</v>
      </c>
      <c r="B447" s="1267" t="s">
        <v>330</v>
      </c>
      <c r="C447" s="1267" t="s">
        <v>10</v>
      </c>
      <c r="D447" s="1267" t="s">
        <v>1151</v>
      </c>
      <c r="E447" s="1267" t="s">
        <v>274</v>
      </c>
      <c r="F447" s="1267" t="s">
        <v>1151</v>
      </c>
      <c r="G447" s="1269">
        <v>6.5000000000000002E-2</v>
      </c>
      <c r="H447" s="1269">
        <v>0.1</v>
      </c>
      <c r="I447" s="1269">
        <v>0</v>
      </c>
      <c r="J447" s="650">
        <v>0</v>
      </c>
      <c r="K447" s="650">
        <v>615</v>
      </c>
    </row>
    <row r="448" spans="1:11" ht="20.100000000000001" customHeight="1">
      <c r="A448" s="927" t="s">
        <v>223</v>
      </c>
      <c r="B448" s="927" t="s">
        <v>207</v>
      </c>
      <c r="C448" s="927" t="s">
        <v>474</v>
      </c>
      <c r="D448" s="927" t="s">
        <v>224</v>
      </c>
      <c r="E448" s="927" t="s">
        <v>124</v>
      </c>
      <c r="F448" s="927" t="s">
        <v>213</v>
      </c>
      <c r="G448" s="652">
        <v>440</v>
      </c>
      <c r="H448" s="652">
        <v>1348.6179999999999</v>
      </c>
      <c r="I448" s="652">
        <v>217.8</v>
      </c>
      <c r="J448" s="650">
        <v>192.7</v>
      </c>
      <c r="K448" s="650">
        <v>410.5</v>
      </c>
    </row>
    <row r="449" spans="1:11" ht="20.100000000000001" customHeight="1">
      <c r="A449" s="927" t="s">
        <v>662</v>
      </c>
      <c r="B449" s="927" t="s">
        <v>207</v>
      </c>
      <c r="C449" s="927" t="s">
        <v>474</v>
      </c>
      <c r="D449" s="927" t="s">
        <v>224</v>
      </c>
      <c r="E449" s="927" t="s">
        <v>124</v>
      </c>
      <c r="F449" s="927" t="s">
        <v>213</v>
      </c>
      <c r="G449" s="652">
        <v>500</v>
      </c>
      <c r="H449" s="652">
        <v>3522.5920000000001</v>
      </c>
      <c r="I449" s="652">
        <v>145</v>
      </c>
      <c r="J449" s="650">
        <v>154.5</v>
      </c>
      <c r="K449" s="650">
        <v>299.5</v>
      </c>
    </row>
    <row r="450" spans="1:11" ht="24.75" customHeight="1">
      <c r="A450" s="927" t="s">
        <v>540</v>
      </c>
      <c r="B450" s="927" t="s">
        <v>207</v>
      </c>
      <c r="C450" s="927" t="s">
        <v>474</v>
      </c>
      <c r="D450" s="927" t="s">
        <v>224</v>
      </c>
      <c r="E450" s="927" t="s">
        <v>124</v>
      </c>
      <c r="F450" s="927" t="s">
        <v>213</v>
      </c>
      <c r="G450" s="652">
        <v>500</v>
      </c>
      <c r="H450" s="652">
        <v>3815.4589999999998</v>
      </c>
      <c r="I450" s="652">
        <v>199</v>
      </c>
      <c r="J450" s="650">
        <v>126.4</v>
      </c>
      <c r="K450" s="650">
        <v>325.39999999999998</v>
      </c>
    </row>
    <row r="451" spans="1:11" ht="27" customHeight="1">
      <c r="A451" s="927" t="s">
        <v>541</v>
      </c>
      <c r="B451" s="927" t="s">
        <v>207</v>
      </c>
      <c r="C451" s="927" t="s">
        <v>474</v>
      </c>
      <c r="D451" s="927" t="s">
        <v>224</v>
      </c>
      <c r="E451" s="927" t="s">
        <v>124</v>
      </c>
      <c r="F451" s="927" t="s">
        <v>213</v>
      </c>
      <c r="G451" s="652">
        <v>840</v>
      </c>
      <c r="H451" s="652">
        <v>4961.5990000000002</v>
      </c>
      <c r="I451" s="652">
        <v>108.2</v>
      </c>
      <c r="J451" s="650">
        <v>148.69999999999999</v>
      </c>
      <c r="K451" s="650">
        <v>256.89999999999998</v>
      </c>
    </row>
    <row r="452" spans="1:11" ht="20.100000000000001" customHeight="1">
      <c r="A452" s="927" t="s">
        <v>663</v>
      </c>
      <c r="B452" s="927" t="s">
        <v>207</v>
      </c>
      <c r="C452" s="927" t="s">
        <v>474</v>
      </c>
      <c r="D452" s="927" t="s">
        <v>224</v>
      </c>
      <c r="E452" s="927" t="s">
        <v>1472</v>
      </c>
      <c r="F452" s="927" t="s">
        <v>213</v>
      </c>
      <c r="G452" s="652">
        <v>6</v>
      </c>
      <c r="H452" s="652">
        <v>4.524</v>
      </c>
      <c r="I452" s="652">
        <v>0</v>
      </c>
      <c r="J452" s="650">
        <v>0</v>
      </c>
      <c r="K452" s="650">
        <v>587</v>
      </c>
    </row>
    <row r="453" spans="1:11" ht="24.75" customHeight="1">
      <c r="A453" s="927" t="s">
        <v>1120</v>
      </c>
      <c r="B453" s="927" t="s">
        <v>207</v>
      </c>
      <c r="C453" s="927" t="s">
        <v>474</v>
      </c>
      <c r="D453" s="927" t="s">
        <v>224</v>
      </c>
      <c r="E453" s="927" t="s">
        <v>124</v>
      </c>
      <c r="F453" s="927" t="s">
        <v>213</v>
      </c>
      <c r="G453" s="652">
        <v>1000</v>
      </c>
      <c r="H453" s="652">
        <v>6053.2719999999999</v>
      </c>
      <c r="I453" s="652">
        <v>252.9</v>
      </c>
      <c r="J453" s="650">
        <v>139.30000000000001</v>
      </c>
      <c r="K453" s="650">
        <v>392.20000000000005</v>
      </c>
    </row>
    <row r="454" spans="1:11" ht="20.100000000000001" customHeight="1">
      <c r="A454" s="927" t="s">
        <v>1121</v>
      </c>
      <c r="B454" s="927" t="s">
        <v>207</v>
      </c>
      <c r="C454" s="927" t="s">
        <v>474</v>
      </c>
      <c r="D454" s="927" t="s">
        <v>224</v>
      </c>
      <c r="E454" s="927" t="s">
        <v>108</v>
      </c>
      <c r="F454" s="927" t="s">
        <v>213</v>
      </c>
      <c r="G454" s="652">
        <v>10</v>
      </c>
      <c r="H454" s="652">
        <v>19.302772000000001</v>
      </c>
      <c r="I454" s="652">
        <v>0</v>
      </c>
      <c r="J454" s="650">
        <v>0</v>
      </c>
      <c r="K454" s="650">
        <v>367.9</v>
      </c>
    </row>
    <row r="455" spans="1:11" ht="20.100000000000001" customHeight="1">
      <c r="A455" s="927" t="s">
        <v>225</v>
      </c>
      <c r="B455" s="927" t="s">
        <v>207</v>
      </c>
      <c r="C455" s="927" t="s">
        <v>474</v>
      </c>
      <c r="D455" s="927" t="s">
        <v>224</v>
      </c>
      <c r="E455" s="927" t="s">
        <v>108</v>
      </c>
      <c r="F455" s="927" t="s">
        <v>213</v>
      </c>
      <c r="G455" s="652">
        <v>120</v>
      </c>
      <c r="H455" s="652">
        <v>240.320156</v>
      </c>
      <c r="I455" s="652">
        <v>0</v>
      </c>
      <c r="J455" s="650">
        <v>0</v>
      </c>
      <c r="K455" s="650">
        <v>95.7</v>
      </c>
    </row>
    <row r="456" spans="1:11" ht="20.100000000000001" customHeight="1">
      <c r="A456" s="927" t="s">
        <v>828</v>
      </c>
      <c r="B456" s="927" t="s">
        <v>207</v>
      </c>
      <c r="C456" s="927" t="s">
        <v>474</v>
      </c>
      <c r="D456" s="927" t="s">
        <v>224</v>
      </c>
      <c r="E456" s="927" t="s">
        <v>108</v>
      </c>
      <c r="F456" s="927" t="s">
        <v>213</v>
      </c>
      <c r="G456" s="652">
        <v>1.7</v>
      </c>
      <c r="H456" s="652">
        <v>1.5514509999999999</v>
      </c>
      <c r="I456" s="652">
        <v>0</v>
      </c>
      <c r="J456" s="650">
        <v>0</v>
      </c>
      <c r="K456" s="650">
        <v>381.9</v>
      </c>
    </row>
    <row r="457" spans="1:11" ht="20.100000000000001" customHeight="1">
      <c r="A457" s="927" t="s">
        <v>226</v>
      </c>
      <c r="B457" s="927" t="s">
        <v>207</v>
      </c>
      <c r="C457" s="927" t="s">
        <v>474</v>
      </c>
      <c r="D457" s="927" t="s">
        <v>224</v>
      </c>
      <c r="E457" s="927" t="s">
        <v>108</v>
      </c>
      <c r="F457" s="927" t="s">
        <v>213</v>
      </c>
      <c r="G457" s="652">
        <v>7</v>
      </c>
      <c r="H457" s="652">
        <v>6.4577299999999997</v>
      </c>
      <c r="I457" s="652">
        <v>0</v>
      </c>
      <c r="J457" s="650">
        <v>0</v>
      </c>
      <c r="K457" s="650">
        <v>268.7</v>
      </c>
    </row>
    <row r="458" spans="1:11" ht="20.100000000000001" customHeight="1">
      <c r="A458" s="927" t="s">
        <v>227</v>
      </c>
      <c r="B458" s="927" t="s">
        <v>207</v>
      </c>
      <c r="C458" s="927" t="s">
        <v>474</v>
      </c>
      <c r="D458" s="927" t="s">
        <v>463</v>
      </c>
      <c r="E458" s="927" t="s">
        <v>120</v>
      </c>
      <c r="F458" s="927" t="s">
        <v>211</v>
      </c>
      <c r="G458" s="652">
        <v>106.617</v>
      </c>
      <c r="H458" s="652">
        <v>128.87</v>
      </c>
      <c r="I458" s="652">
        <v>228</v>
      </c>
      <c r="J458" s="650">
        <v>236</v>
      </c>
      <c r="K458" s="650">
        <v>463</v>
      </c>
    </row>
    <row r="459" spans="1:11" ht="20.100000000000001" customHeight="1">
      <c r="A459" s="927" t="s">
        <v>228</v>
      </c>
      <c r="B459" s="927" t="s">
        <v>207</v>
      </c>
      <c r="C459" s="927" t="s">
        <v>474</v>
      </c>
      <c r="D459" s="927" t="s">
        <v>463</v>
      </c>
      <c r="E459" s="927" t="s">
        <v>120</v>
      </c>
      <c r="F459" s="927" t="s">
        <v>211</v>
      </c>
      <c r="G459" s="652">
        <v>112.45</v>
      </c>
      <c r="H459" s="652">
        <v>262.92</v>
      </c>
      <c r="I459" s="652">
        <v>289</v>
      </c>
      <c r="J459" s="650">
        <v>276</v>
      </c>
      <c r="K459" s="650">
        <v>565</v>
      </c>
    </row>
    <row r="460" spans="1:11" ht="20.100000000000001" customHeight="1">
      <c r="A460" s="927" t="s">
        <v>1473</v>
      </c>
      <c r="B460" s="927" t="s">
        <v>207</v>
      </c>
      <c r="C460" s="927" t="s">
        <v>474</v>
      </c>
      <c r="D460" s="927" t="s">
        <v>463</v>
      </c>
      <c r="E460" s="927" t="s">
        <v>120</v>
      </c>
      <c r="F460" s="927" t="s">
        <v>211</v>
      </c>
      <c r="G460" s="652">
        <v>376</v>
      </c>
      <c r="H460" s="652">
        <v>263.7</v>
      </c>
      <c r="I460" s="652">
        <v>534</v>
      </c>
      <c r="J460" s="650">
        <v>644</v>
      </c>
      <c r="K460" s="650">
        <v>1178</v>
      </c>
    </row>
    <row r="461" spans="1:11" ht="20.100000000000001" customHeight="1">
      <c r="A461" s="927" t="s">
        <v>1122</v>
      </c>
      <c r="B461" s="927" t="s">
        <v>207</v>
      </c>
      <c r="C461" s="927" t="s">
        <v>474</v>
      </c>
      <c r="D461" s="927" t="s">
        <v>463</v>
      </c>
      <c r="E461" s="927" t="s">
        <v>124</v>
      </c>
      <c r="F461" s="927" t="s">
        <v>211</v>
      </c>
      <c r="G461" s="652">
        <v>420</v>
      </c>
      <c r="H461" s="652">
        <v>1997.74</v>
      </c>
      <c r="I461" s="652">
        <v>95</v>
      </c>
      <c r="J461" s="650">
        <v>403</v>
      </c>
      <c r="K461" s="650">
        <v>497</v>
      </c>
    </row>
    <row r="462" spans="1:11" ht="20.100000000000001" customHeight="1">
      <c r="A462" s="927" t="s">
        <v>229</v>
      </c>
      <c r="B462" s="927" t="s">
        <v>207</v>
      </c>
      <c r="C462" s="927" t="s">
        <v>474</v>
      </c>
      <c r="D462" s="927" t="s">
        <v>463</v>
      </c>
      <c r="E462" s="927" t="s">
        <v>124</v>
      </c>
      <c r="F462" s="927" t="s">
        <v>211</v>
      </c>
      <c r="G462" s="652">
        <v>210</v>
      </c>
      <c r="H462" s="652">
        <v>1328.63</v>
      </c>
      <c r="I462" s="652">
        <v>52</v>
      </c>
      <c r="J462" s="650">
        <v>389</v>
      </c>
      <c r="K462" s="650">
        <v>441</v>
      </c>
    </row>
    <row r="463" spans="1:11" ht="20.100000000000001" customHeight="1">
      <c r="A463" s="927" t="s">
        <v>1474</v>
      </c>
      <c r="B463" s="927" t="s">
        <v>207</v>
      </c>
      <c r="C463" s="927" t="s">
        <v>474</v>
      </c>
      <c r="D463" s="927" t="s">
        <v>463</v>
      </c>
      <c r="E463" s="927" t="s">
        <v>199</v>
      </c>
      <c r="F463" s="927" t="s">
        <v>211</v>
      </c>
      <c r="G463" s="652">
        <v>215</v>
      </c>
      <c r="H463" s="652">
        <v>748.83</v>
      </c>
      <c r="I463" s="652">
        <v>192</v>
      </c>
      <c r="J463" s="650">
        <v>257</v>
      </c>
      <c r="K463" s="650">
        <v>449</v>
      </c>
    </row>
    <row r="464" spans="1:11" ht="20.100000000000001" customHeight="1">
      <c r="A464" s="927" t="s">
        <v>230</v>
      </c>
      <c r="B464" s="927" t="s">
        <v>207</v>
      </c>
      <c r="C464" s="927" t="s">
        <v>474</v>
      </c>
      <c r="D464" s="927" t="s">
        <v>463</v>
      </c>
      <c r="E464" s="927" t="s">
        <v>141</v>
      </c>
      <c r="F464" s="927" t="s">
        <v>211</v>
      </c>
      <c r="G464" s="652">
        <v>75</v>
      </c>
      <c r="H464" s="652">
        <v>246.81</v>
      </c>
      <c r="I464" s="652">
        <v>232</v>
      </c>
      <c r="J464" s="650">
        <v>242</v>
      </c>
      <c r="K464" s="650">
        <v>474</v>
      </c>
    </row>
    <row r="465" spans="1:11" ht="20.100000000000001" customHeight="1">
      <c r="A465" s="927" t="s">
        <v>664</v>
      </c>
      <c r="B465" s="927" t="s">
        <v>207</v>
      </c>
      <c r="C465" s="927" t="s">
        <v>474</v>
      </c>
      <c r="D465" s="927" t="s">
        <v>463</v>
      </c>
      <c r="E465" s="927" t="s">
        <v>124</v>
      </c>
      <c r="F465" s="927" t="s">
        <v>211</v>
      </c>
      <c r="G465" s="652">
        <v>500</v>
      </c>
      <c r="H465" s="652">
        <v>2467.2399999999998</v>
      </c>
      <c r="I465" s="652">
        <v>248</v>
      </c>
      <c r="J465" s="650">
        <v>408</v>
      </c>
      <c r="K465" s="650">
        <v>656</v>
      </c>
    </row>
    <row r="466" spans="1:11" ht="20.100000000000001" customHeight="1">
      <c r="A466" s="927" t="s">
        <v>1475</v>
      </c>
      <c r="B466" s="927" t="s">
        <v>207</v>
      </c>
      <c r="C466" s="927" t="s">
        <v>474</v>
      </c>
      <c r="D466" s="927" t="s">
        <v>463</v>
      </c>
      <c r="E466" s="927" t="s">
        <v>124</v>
      </c>
      <c r="F466" s="927" t="s">
        <v>211</v>
      </c>
      <c r="G466" s="652">
        <v>610</v>
      </c>
      <c r="H466" s="652">
        <v>3538.29</v>
      </c>
      <c r="I466" s="652">
        <v>82</v>
      </c>
      <c r="J466" s="650">
        <v>379</v>
      </c>
      <c r="K466" s="650">
        <v>460</v>
      </c>
    </row>
    <row r="467" spans="1:11" ht="20.100000000000001" customHeight="1">
      <c r="A467" s="927" t="s">
        <v>542</v>
      </c>
      <c r="B467" s="927" t="s">
        <v>207</v>
      </c>
      <c r="C467" s="927" t="s">
        <v>474</v>
      </c>
      <c r="D467" s="927" t="s">
        <v>463</v>
      </c>
      <c r="E467" s="650" t="s">
        <v>124</v>
      </c>
      <c r="F467" s="927" t="s">
        <v>211</v>
      </c>
      <c r="G467" s="652">
        <v>500</v>
      </c>
      <c r="H467" s="652">
        <v>2842.41</v>
      </c>
      <c r="I467" s="652">
        <v>162</v>
      </c>
      <c r="J467" s="650">
        <v>339</v>
      </c>
      <c r="K467" s="650">
        <v>501</v>
      </c>
    </row>
    <row r="468" spans="1:11" ht="20.100000000000001" customHeight="1">
      <c r="A468" s="927" t="s">
        <v>231</v>
      </c>
      <c r="B468" s="927" t="s">
        <v>207</v>
      </c>
      <c r="C468" s="927" t="s">
        <v>474</v>
      </c>
      <c r="D468" s="927" t="s">
        <v>463</v>
      </c>
      <c r="E468" s="650" t="s">
        <v>124</v>
      </c>
      <c r="F468" s="927" t="s">
        <v>211</v>
      </c>
      <c r="G468" s="652">
        <v>1260</v>
      </c>
      <c r="H468" s="652">
        <v>6215</v>
      </c>
      <c r="I468" s="652">
        <v>82</v>
      </c>
      <c r="J468" s="650">
        <v>405</v>
      </c>
      <c r="K468" s="650">
        <v>488</v>
      </c>
    </row>
    <row r="469" spans="1:11" ht="20.100000000000001" customHeight="1">
      <c r="A469" s="927" t="s">
        <v>232</v>
      </c>
      <c r="B469" s="927" t="s">
        <v>207</v>
      </c>
      <c r="C469" s="927" t="s">
        <v>474</v>
      </c>
      <c r="D469" s="927" t="s">
        <v>463</v>
      </c>
      <c r="E469" s="650" t="s">
        <v>124</v>
      </c>
      <c r="F469" s="927" t="s">
        <v>211</v>
      </c>
      <c r="G469" s="652">
        <v>210</v>
      </c>
      <c r="H469" s="652">
        <v>1367.31</v>
      </c>
      <c r="I469" s="652">
        <v>44</v>
      </c>
      <c r="J469" s="650">
        <v>384</v>
      </c>
      <c r="K469" s="650">
        <v>428</v>
      </c>
    </row>
    <row r="470" spans="1:11" ht="20.100000000000001" customHeight="1">
      <c r="A470" s="927" t="s">
        <v>236</v>
      </c>
      <c r="B470" s="927" t="s">
        <v>207</v>
      </c>
      <c r="C470" s="927" t="s">
        <v>474</v>
      </c>
      <c r="D470" s="927" t="s">
        <v>463</v>
      </c>
      <c r="E470" s="650" t="s">
        <v>108</v>
      </c>
      <c r="F470" s="927" t="s">
        <v>211</v>
      </c>
      <c r="G470" s="652">
        <v>242</v>
      </c>
      <c r="H470" s="652">
        <v>239.55</v>
      </c>
      <c r="I470" s="652">
        <v>280</v>
      </c>
      <c r="J470" s="650">
        <v>0</v>
      </c>
      <c r="K470" s="650">
        <v>280</v>
      </c>
    </row>
    <row r="471" spans="1:11" ht="20.100000000000001" customHeight="1">
      <c r="A471" s="927" t="s">
        <v>237</v>
      </c>
      <c r="B471" s="927" t="s">
        <v>207</v>
      </c>
      <c r="C471" s="927" t="s">
        <v>474</v>
      </c>
      <c r="D471" s="927" t="s">
        <v>463</v>
      </c>
      <c r="E471" s="650" t="s">
        <v>108</v>
      </c>
      <c r="F471" s="927" t="s">
        <v>211</v>
      </c>
      <c r="G471" s="652">
        <v>305</v>
      </c>
      <c r="H471" s="652">
        <v>218.91</v>
      </c>
      <c r="I471" s="652">
        <v>140</v>
      </c>
      <c r="J471" s="650">
        <v>0</v>
      </c>
      <c r="K471" s="650">
        <v>140</v>
      </c>
    </row>
    <row r="472" spans="1:11" ht="20.100000000000001" customHeight="1">
      <c r="A472" s="927" t="s">
        <v>1476</v>
      </c>
      <c r="B472" s="927" t="s">
        <v>207</v>
      </c>
      <c r="C472" s="927" t="s">
        <v>474</v>
      </c>
      <c r="D472" s="927" t="s">
        <v>463</v>
      </c>
      <c r="E472" s="650" t="s">
        <v>200</v>
      </c>
      <c r="F472" s="927" t="s">
        <v>211</v>
      </c>
      <c r="G472" s="652">
        <v>374.57100000000003</v>
      </c>
      <c r="H472" s="652">
        <v>400.48</v>
      </c>
      <c r="I472" s="652">
        <v>602</v>
      </c>
      <c r="J472" s="650">
        <v>688</v>
      </c>
      <c r="K472" s="650">
        <v>1290</v>
      </c>
    </row>
    <row r="473" spans="1:11" ht="25.5" customHeight="1">
      <c r="A473" s="927" t="s">
        <v>543</v>
      </c>
      <c r="B473" s="927" t="s">
        <v>207</v>
      </c>
      <c r="C473" s="927" t="s">
        <v>474</v>
      </c>
      <c r="D473" s="927" t="s">
        <v>475</v>
      </c>
      <c r="E473" s="650" t="s">
        <v>108</v>
      </c>
      <c r="F473" s="927" t="s">
        <v>210</v>
      </c>
      <c r="G473" s="652">
        <v>315</v>
      </c>
      <c r="H473" s="652">
        <v>571</v>
      </c>
      <c r="I473" s="652">
        <v>99</v>
      </c>
      <c r="J473" s="650">
        <v>61</v>
      </c>
      <c r="K473" s="650">
        <v>160</v>
      </c>
    </row>
    <row r="474" spans="1:11" ht="20.100000000000001" customHeight="1">
      <c r="A474" s="927" t="s">
        <v>544</v>
      </c>
      <c r="B474" s="927" t="s">
        <v>207</v>
      </c>
      <c r="C474" s="927" t="s">
        <v>474</v>
      </c>
      <c r="D474" s="927" t="s">
        <v>475</v>
      </c>
      <c r="E474" s="650" t="s">
        <v>108</v>
      </c>
      <c r="F474" s="927" t="s">
        <v>210</v>
      </c>
      <c r="G474" s="652">
        <v>30</v>
      </c>
      <c r="H474" s="652">
        <v>39</v>
      </c>
      <c r="I474" s="652">
        <v>122</v>
      </c>
      <c r="J474" s="650">
        <v>59</v>
      </c>
      <c r="K474" s="650">
        <v>181</v>
      </c>
    </row>
    <row r="475" spans="1:11" ht="20.100000000000001" customHeight="1">
      <c r="A475" s="927" t="s">
        <v>545</v>
      </c>
      <c r="B475" s="927" t="s">
        <v>207</v>
      </c>
      <c r="C475" s="927" t="s">
        <v>474</v>
      </c>
      <c r="D475" s="927" t="s">
        <v>475</v>
      </c>
      <c r="E475" s="650" t="s">
        <v>108</v>
      </c>
      <c r="F475" s="927" t="s">
        <v>210</v>
      </c>
      <c r="G475" s="652">
        <v>60</v>
      </c>
      <c r="H475" s="652">
        <v>83</v>
      </c>
      <c r="I475" s="652">
        <v>142</v>
      </c>
      <c r="J475" s="650">
        <v>145</v>
      </c>
      <c r="K475" s="650">
        <v>287</v>
      </c>
    </row>
    <row r="476" spans="1:11" ht="20.100000000000001" customHeight="1">
      <c r="A476" s="927" t="s">
        <v>546</v>
      </c>
      <c r="B476" s="927" t="s">
        <v>207</v>
      </c>
      <c r="C476" s="927" t="s">
        <v>474</v>
      </c>
      <c r="D476" s="927" t="s">
        <v>475</v>
      </c>
      <c r="E476" s="650" t="s">
        <v>108</v>
      </c>
      <c r="F476" s="927" t="s">
        <v>210</v>
      </c>
      <c r="G476" s="652">
        <v>20</v>
      </c>
      <c r="H476" s="652">
        <v>65</v>
      </c>
      <c r="I476" s="652">
        <v>128</v>
      </c>
      <c r="J476" s="650">
        <v>92</v>
      </c>
      <c r="K476" s="650">
        <v>220</v>
      </c>
    </row>
    <row r="477" spans="1:11" ht="24.75" customHeight="1">
      <c r="A477" s="927" t="s">
        <v>238</v>
      </c>
      <c r="B477" s="927" t="s">
        <v>207</v>
      </c>
      <c r="C477" s="927" t="s">
        <v>474</v>
      </c>
      <c r="D477" s="927" t="s">
        <v>475</v>
      </c>
      <c r="E477" s="650" t="s">
        <v>108</v>
      </c>
      <c r="F477" s="927" t="s">
        <v>210</v>
      </c>
      <c r="G477" s="652">
        <v>90</v>
      </c>
      <c r="H477" s="652">
        <v>346</v>
      </c>
      <c r="I477" s="652">
        <v>26</v>
      </c>
      <c r="J477" s="650">
        <v>18</v>
      </c>
      <c r="K477" s="650">
        <v>44</v>
      </c>
    </row>
    <row r="478" spans="1:11" ht="20.100000000000001" customHeight="1">
      <c r="A478" s="927" t="s">
        <v>239</v>
      </c>
      <c r="B478" s="927" t="s">
        <v>207</v>
      </c>
      <c r="C478" s="927" t="s">
        <v>474</v>
      </c>
      <c r="D478" s="927" t="s">
        <v>475</v>
      </c>
      <c r="E478" s="650" t="s">
        <v>108</v>
      </c>
      <c r="F478" s="927" t="s">
        <v>210</v>
      </c>
      <c r="G478" s="652">
        <v>115</v>
      </c>
      <c r="H478" s="652">
        <v>123</v>
      </c>
      <c r="I478" s="652">
        <v>30</v>
      </c>
      <c r="J478" s="650">
        <v>18</v>
      </c>
      <c r="K478" s="650">
        <v>48</v>
      </c>
    </row>
    <row r="479" spans="1:11" ht="20.100000000000001" customHeight="1">
      <c r="A479" s="927" t="s">
        <v>240</v>
      </c>
      <c r="B479" s="927" t="s">
        <v>207</v>
      </c>
      <c r="C479" s="927" t="s">
        <v>474</v>
      </c>
      <c r="D479" s="927" t="s">
        <v>475</v>
      </c>
      <c r="E479" s="927" t="s">
        <v>108</v>
      </c>
      <c r="F479" s="927" t="s">
        <v>210</v>
      </c>
      <c r="G479" s="652">
        <v>20</v>
      </c>
      <c r="H479" s="652">
        <v>29</v>
      </c>
      <c r="I479" s="652">
        <v>46</v>
      </c>
      <c r="J479" s="650">
        <v>71</v>
      </c>
      <c r="K479" s="650">
        <v>117</v>
      </c>
    </row>
    <row r="480" spans="1:11" ht="20.100000000000001" customHeight="1">
      <c r="A480" s="927" t="s">
        <v>1477</v>
      </c>
      <c r="B480" s="927" t="s">
        <v>207</v>
      </c>
      <c r="C480" s="927" t="s">
        <v>474</v>
      </c>
      <c r="D480" s="927" t="s">
        <v>475</v>
      </c>
      <c r="E480" s="650" t="s">
        <v>108</v>
      </c>
      <c r="F480" s="927" t="s">
        <v>210</v>
      </c>
      <c r="G480" s="652">
        <v>60</v>
      </c>
      <c r="H480" s="652">
        <v>88</v>
      </c>
      <c r="I480" s="652">
        <v>175</v>
      </c>
      <c r="J480" s="650">
        <v>189</v>
      </c>
      <c r="K480" s="650">
        <v>364</v>
      </c>
    </row>
    <row r="481" spans="1:11" ht="20.100000000000001" customHeight="1">
      <c r="A481" s="927" t="s">
        <v>241</v>
      </c>
      <c r="B481" s="927" t="s">
        <v>207</v>
      </c>
      <c r="C481" s="927" t="s">
        <v>474</v>
      </c>
      <c r="D481" s="927" t="s">
        <v>475</v>
      </c>
      <c r="E481" s="650" t="s">
        <v>108</v>
      </c>
      <c r="F481" s="927" t="s">
        <v>210</v>
      </c>
      <c r="G481" s="652">
        <v>160</v>
      </c>
      <c r="H481" s="652">
        <v>88</v>
      </c>
      <c r="I481" s="652">
        <v>111</v>
      </c>
      <c r="J481" s="650">
        <v>47</v>
      </c>
      <c r="K481" s="650">
        <v>157</v>
      </c>
    </row>
    <row r="482" spans="1:11" ht="20.100000000000001" customHeight="1">
      <c r="A482" s="927" t="s">
        <v>242</v>
      </c>
      <c r="B482" s="927" t="s">
        <v>207</v>
      </c>
      <c r="C482" s="927" t="s">
        <v>474</v>
      </c>
      <c r="D482" s="927" t="s">
        <v>475</v>
      </c>
      <c r="E482" s="650" t="s">
        <v>108</v>
      </c>
      <c r="F482" s="927" t="s">
        <v>210</v>
      </c>
      <c r="G482" s="652">
        <v>45</v>
      </c>
      <c r="H482" s="652">
        <v>40</v>
      </c>
      <c r="I482" s="652">
        <v>53</v>
      </c>
      <c r="J482" s="650">
        <v>173</v>
      </c>
      <c r="K482" s="650">
        <v>225</v>
      </c>
    </row>
    <row r="483" spans="1:11" ht="20.100000000000001" customHeight="1">
      <c r="A483" s="927" t="s">
        <v>547</v>
      </c>
      <c r="B483" s="927" t="s">
        <v>207</v>
      </c>
      <c r="C483" s="927" t="s">
        <v>474</v>
      </c>
      <c r="D483" s="927" t="s">
        <v>475</v>
      </c>
      <c r="E483" s="650" t="s">
        <v>124</v>
      </c>
      <c r="F483" s="927" t="s">
        <v>210</v>
      </c>
      <c r="G483" s="652">
        <v>210</v>
      </c>
      <c r="H483" s="652">
        <v>1491</v>
      </c>
      <c r="I483" s="652">
        <v>142</v>
      </c>
      <c r="J483" s="650">
        <v>140</v>
      </c>
      <c r="K483" s="650">
        <v>282</v>
      </c>
    </row>
    <row r="484" spans="1:11" ht="24.75" customHeight="1">
      <c r="A484" s="927" t="s">
        <v>665</v>
      </c>
      <c r="B484" s="927" t="s">
        <v>207</v>
      </c>
      <c r="C484" s="927" t="s">
        <v>474</v>
      </c>
      <c r="D484" s="927" t="s">
        <v>475</v>
      </c>
      <c r="E484" s="650" t="s">
        <v>124</v>
      </c>
      <c r="F484" s="927" t="s">
        <v>210</v>
      </c>
      <c r="G484" s="652">
        <v>840</v>
      </c>
      <c r="H484" s="652">
        <v>4468</v>
      </c>
      <c r="I484" s="652">
        <v>86</v>
      </c>
      <c r="J484" s="650">
        <v>222</v>
      </c>
      <c r="K484" s="650">
        <v>307</v>
      </c>
    </row>
    <row r="485" spans="1:11" ht="24.75" customHeight="1">
      <c r="A485" s="927" t="s">
        <v>548</v>
      </c>
      <c r="B485" s="927" t="s">
        <v>207</v>
      </c>
      <c r="C485" s="927" t="s">
        <v>474</v>
      </c>
      <c r="D485" s="927" t="s">
        <v>475</v>
      </c>
      <c r="E485" s="650" t="s">
        <v>124</v>
      </c>
      <c r="F485" s="927" t="s">
        <v>210</v>
      </c>
      <c r="G485" s="652">
        <v>500</v>
      </c>
      <c r="H485" s="652">
        <v>3533</v>
      </c>
      <c r="I485" s="652">
        <v>114</v>
      </c>
      <c r="J485" s="650">
        <v>193</v>
      </c>
      <c r="K485" s="650">
        <v>307</v>
      </c>
    </row>
    <row r="486" spans="1:11" ht="24.75" customHeight="1">
      <c r="A486" s="927" t="s">
        <v>1478</v>
      </c>
      <c r="B486" s="927" t="s">
        <v>207</v>
      </c>
      <c r="C486" s="927" t="s">
        <v>474</v>
      </c>
      <c r="D486" s="927" t="s">
        <v>475</v>
      </c>
      <c r="E486" s="650" t="s">
        <v>124</v>
      </c>
      <c r="F486" s="927" t="s">
        <v>210</v>
      </c>
      <c r="G486" s="652">
        <v>830</v>
      </c>
      <c r="H486" s="652">
        <v>3524</v>
      </c>
      <c r="I486" s="652">
        <v>89</v>
      </c>
      <c r="J486" s="650">
        <v>265</v>
      </c>
      <c r="K486" s="650">
        <v>354</v>
      </c>
    </row>
    <row r="487" spans="1:11" ht="24.75" customHeight="1">
      <c r="A487" s="927" t="s">
        <v>1479</v>
      </c>
      <c r="B487" s="927" t="s">
        <v>207</v>
      </c>
      <c r="C487" s="927" t="s">
        <v>474</v>
      </c>
      <c r="D487" s="927" t="s">
        <v>475</v>
      </c>
      <c r="E487" s="650" t="s">
        <v>124</v>
      </c>
      <c r="F487" s="927" t="s">
        <v>210</v>
      </c>
      <c r="G487" s="652">
        <v>500</v>
      </c>
      <c r="H487" s="652">
        <v>3259</v>
      </c>
      <c r="I487" s="652">
        <v>213</v>
      </c>
      <c r="J487" s="650">
        <v>223</v>
      </c>
      <c r="K487" s="650">
        <v>436</v>
      </c>
    </row>
    <row r="488" spans="1:11" ht="24.75" customHeight="1">
      <c r="A488" s="927" t="s">
        <v>1480</v>
      </c>
      <c r="B488" s="927" t="s">
        <v>207</v>
      </c>
      <c r="C488" s="927" t="s">
        <v>474</v>
      </c>
      <c r="D488" s="927" t="s">
        <v>475</v>
      </c>
      <c r="E488" s="650" t="s">
        <v>124</v>
      </c>
      <c r="F488" s="927" t="s">
        <v>210</v>
      </c>
      <c r="G488" s="652">
        <v>1320</v>
      </c>
      <c r="H488" s="652">
        <v>1540</v>
      </c>
      <c r="I488" s="652">
        <v>163</v>
      </c>
      <c r="J488" s="650">
        <v>287</v>
      </c>
      <c r="K488" s="650">
        <v>450</v>
      </c>
    </row>
    <row r="489" spans="1:11" ht="27.75" customHeight="1">
      <c r="A489" s="927" t="s">
        <v>1481</v>
      </c>
      <c r="B489" s="927" t="s">
        <v>207</v>
      </c>
      <c r="C489" s="927" t="s">
        <v>474</v>
      </c>
      <c r="D489" s="927" t="s">
        <v>475</v>
      </c>
      <c r="E489" s="927" t="s">
        <v>124</v>
      </c>
      <c r="F489" s="927" t="s">
        <v>210</v>
      </c>
      <c r="G489" s="652">
        <v>1200</v>
      </c>
      <c r="H489" s="652">
        <v>5836</v>
      </c>
      <c r="I489" s="652">
        <v>181</v>
      </c>
      <c r="J489" s="650">
        <v>281</v>
      </c>
      <c r="K489" s="650">
        <v>462</v>
      </c>
    </row>
    <row r="490" spans="1:11" ht="20.100000000000001" customHeight="1">
      <c r="A490" s="927" t="s">
        <v>1123</v>
      </c>
      <c r="B490" s="1273" t="s">
        <v>207</v>
      </c>
      <c r="C490" s="1273" t="s">
        <v>474</v>
      </c>
      <c r="D490" s="927" t="s">
        <v>243</v>
      </c>
      <c r="E490" s="927" t="s">
        <v>124</v>
      </c>
      <c r="F490" s="927" t="s">
        <v>220</v>
      </c>
      <c r="G490" s="652">
        <v>1210</v>
      </c>
      <c r="H490" s="652">
        <v>6156.27</v>
      </c>
      <c r="I490" s="652">
        <v>150</v>
      </c>
      <c r="J490" s="650">
        <v>282</v>
      </c>
      <c r="K490" s="650">
        <v>432</v>
      </c>
    </row>
    <row r="491" spans="1:11" ht="24" customHeight="1">
      <c r="A491" s="927" t="s">
        <v>1124</v>
      </c>
      <c r="B491" s="1273" t="s">
        <v>207</v>
      </c>
      <c r="C491" s="1273" t="s">
        <v>474</v>
      </c>
      <c r="D491" s="927" t="s">
        <v>243</v>
      </c>
      <c r="E491" s="927" t="s">
        <v>124</v>
      </c>
      <c r="F491" s="927" t="s">
        <v>220</v>
      </c>
      <c r="G491" s="652">
        <v>2920</v>
      </c>
      <c r="H491" s="652">
        <v>14692.83</v>
      </c>
      <c r="I491" s="652">
        <v>113</v>
      </c>
      <c r="J491" s="650">
        <v>211</v>
      </c>
      <c r="K491" s="650">
        <v>324</v>
      </c>
    </row>
    <row r="492" spans="1:11" ht="20.100000000000001" customHeight="1">
      <c r="A492" s="927" t="s">
        <v>244</v>
      </c>
      <c r="B492" s="927" t="s">
        <v>207</v>
      </c>
      <c r="C492" s="927" t="s">
        <v>474</v>
      </c>
      <c r="D492" s="927" t="s">
        <v>243</v>
      </c>
      <c r="E492" s="927" t="s">
        <v>124</v>
      </c>
      <c r="F492" s="927" t="s">
        <v>220</v>
      </c>
      <c r="G492" s="652">
        <v>1340</v>
      </c>
      <c r="H492" s="652">
        <v>6813</v>
      </c>
      <c r="I492" s="652">
        <v>113</v>
      </c>
      <c r="J492" s="650">
        <v>246.7</v>
      </c>
      <c r="K492" s="650">
        <v>359.7</v>
      </c>
    </row>
    <row r="493" spans="1:11" ht="20.100000000000001" customHeight="1">
      <c r="A493" s="1267" t="s">
        <v>1125</v>
      </c>
      <c r="B493" s="1267" t="s">
        <v>207</v>
      </c>
      <c r="C493" s="1267" t="s">
        <v>474</v>
      </c>
      <c r="D493" s="1267" t="s">
        <v>243</v>
      </c>
      <c r="E493" s="1267" t="s">
        <v>124</v>
      </c>
      <c r="F493" s="1267" t="s">
        <v>220</v>
      </c>
      <c r="G493" s="1269">
        <v>2400</v>
      </c>
      <c r="H493" s="1269">
        <v>7681.69</v>
      </c>
      <c r="I493" s="1269">
        <v>164</v>
      </c>
      <c r="J493" s="650">
        <v>239.2</v>
      </c>
      <c r="K493" s="650">
        <v>403.2</v>
      </c>
    </row>
    <row r="494" spans="1:11" ht="20.100000000000001" customHeight="1">
      <c r="A494" s="1267" t="s">
        <v>1482</v>
      </c>
      <c r="B494" s="1267" t="s">
        <v>207</v>
      </c>
      <c r="C494" s="1267" t="s">
        <v>474</v>
      </c>
      <c r="D494" s="1267" t="s">
        <v>243</v>
      </c>
      <c r="E494" s="1267" t="s">
        <v>124</v>
      </c>
      <c r="F494" s="1267" t="s">
        <v>220</v>
      </c>
      <c r="G494" s="1269">
        <v>630</v>
      </c>
      <c r="H494" s="1269">
        <v>2057.29</v>
      </c>
      <c r="I494" s="1269">
        <v>109</v>
      </c>
      <c r="J494" s="650">
        <v>342.5</v>
      </c>
      <c r="K494" s="650">
        <v>451</v>
      </c>
    </row>
    <row r="495" spans="1:11" ht="20.100000000000001" customHeight="1">
      <c r="A495" s="1267" t="s">
        <v>1126</v>
      </c>
      <c r="B495" s="1267" t="s">
        <v>207</v>
      </c>
      <c r="C495" s="1267" t="s">
        <v>474</v>
      </c>
      <c r="D495" s="1267" t="s">
        <v>243</v>
      </c>
      <c r="E495" s="1267" t="s">
        <v>124</v>
      </c>
      <c r="F495" s="1267" t="s">
        <v>220</v>
      </c>
      <c r="G495" s="1269">
        <v>1170</v>
      </c>
      <c r="H495" s="1269">
        <v>2535.9299999999998</v>
      </c>
      <c r="I495" s="1269">
        <v>183</v>
      </c>
      <c r="J495" s="650">
        <v>306.10000000000002</v>
      </c>
      <c r="K495" s="650">
        <v>489.1</v>
      </c>
    </row>
    <row r="496" spans="1:11" ht="20.100000000000001" customHeight="1">
      <c r="A496" s="1267" t="s">
        <v>1483</v>
      </c>
      <c r="B496" s="1267" t="s">
        <v>207</v>
      </c>
      <c r="C496" s="1267" t="s">
        <v>474</v>
      </c>
      <c r="D496" s="1267" t="s">
        <v>243</v>
      </c>
      <c r="E496" s="1267" t="s">
        <v>124</v>
      </c>
      <c r="F496" s="1267" t="s">
        <v>220</v>
      </c>
      <c r="G496" s="1269">
        <v>500</v>
      </c>
      <c r="H496" s="1269">
        <v>2354.11</v>
      </c>
      <c r="I496" s="1269">
        <v>162</v>
      </c>
      <c r="J496" s="650">
        <v>278.7</v>
      </c>
      <c r="K496" s="650">
        <v>440.7</v>
      </c>
    </row>
    <row r="497" spans="1:11" ht="20.100000000000001" customHeight="1">
      <c r="A497" s="1267" t="s">
        <v>1484</v>
      </c>
      <c r="B497" s="1267" t="s">
        <v>207</v>
      </c>
      <c r="C497" s="1267" t="s">
        <v>474</v>
      </c>
      <c r="D497" s="1267" t="s">
        <v>243</v>
      </c>
      <c r="E497" s="1267" t="s">
        <v>120</v>
      </c>
      <c r="F497" s="1267" t="s">
        <v>220</v>
      </c>
      <c r="G497" s="1269">
        <v>672</v>
      </c>
      <c r="H497" s="1269">
        <v>2505.9</v>
      </c>
      <c r="I497" s="1269">
        <v>43</v>
      </c>
      <c r="J497" s="650">
        <v>194.1</v>
      </c>
      <c r="K497" s="650">
        <v>237.1</v>
      </c>
    </row>
    <row r="498" spans="1:11" ht="20.100000000000001" customHeight="1">
      <c r="A498" s="1267" t="s">
        <v>829</v>
      </c>
      <c r="B498" s="1267" t="s">
        <v>207</v>
      </c>
      <c r="C498" s="1267" t="s">
        <v>474</v>
      </c>
      <c r="D498" s="1267" t="s">
        <v>243</v>
      </c>
      <c r="E498" s="1267" t="s">
        <v>108</v>
      </c>
      <c r="F498" s="1267" t="s">
        <v>220</v>
      </c>
      <c r="G498" s="1269">
        <v>1956</v>
      </c>
      <c r="H498" s="1269">
        <v>2746.33</v>
      </c>
      <c r="I498" s="1269">
        <v>103.1</v>
      </c>
      <c r="J498" s="650">
        <v>13.9</v>
      </c>
      <c r="K498" s="650">
        <v>117</v>
      </c>
    </row>
    <row r="499" spans="1:11" ht="38.25" customHeight="1">
      <c r="A499" s="1267" t="s">
        <v>1485</v>
      </c>
      <c r="B499" s="1267" t="s">
        <v>207</v>
      </c>
      <c r="C499" s="1267" t="s">
        <v>474</v>
      </c>
      <c r="D499" s="1267" t="s">
        <v>243</v>
      </c>
      <c r="E499" s="1267" t="s">
        <v>108</v>
      </c>
      <c r="F499" s="1267" t="s">
        <v>220</v>
      </c>
      <c r="G499" s="1269">
        <v>454</v>
      </c>
      <c r="H499" s="1269">
        <v>753.2</v>
      </c>
      <c r="I499" s="1269">
        <v>348.3</v>
      </c>
      <c r="J499" s="650">
        <v>0</v>
      </c>
      <c r="K499" s="650">
        <v>348.3</v>
      </c>
    </row>
    <row r="500" spans="1:11" ht="20.100000000000001" customHeight="1">
      <c r="A500" s="927" t="s">
        <v>245</v>
      </c>
      <c r="B500" s="927" t="s">
        <v>207</v>
      </c>
      <c r="C500" s="927" t="s">
        <v>474</v>
      </c>
      <c r="D500" s="927" t="s">
        <v>243</v>
      </c>
      <c r="E500" s="927" t="s">
        <v>108</v>
      </c>
      <c r="F500" s="927" t="s">
        <v>220</v>
      </c>
      <c r="G500" s="652">
        <v>80</v>
      </c>
      <c r="H500" s="652">
        <v>94.5</v>
      </c>
      <c r="I500" s="1269">
        <v>69</v>
      </c>
      <c r="J500" s="650">
        <v>28.8</v>
      </c>
      <c r="K500" s="650">
        <v>97.8</v>
      </c>
    </row>
    <row r="501" spans="1:11" ht="20.100000000000001" customHeight="1">
      <c r="A501" s="1267" t="s">
        <v>246</v>
      </c>
      <c r="B501" s="1267" t="s">
        <v>207</v>
      </c>
      <c r="C501" s="1267" t="s">
        <v>474</v>
      </c>
      <c r="D501" s="1267" t="s">
        <v>243</v>
      </c>
      <c r="E501" s="932" t="s">
        <v>108</v>
      </c>
      <c r="F501" s="932" t="s">
        <v>220</v>
      </c>
      <c r="G501" s="1268">
        <v>60</v>
      </c>
      <c r="H501" s="1268">
        <v>87.32</v>
      </c>
      <c r="I501" s="1269">
        <v>55.7</v>
      </c>
      <c r="J501" s="650">
        <v>62.1</v>
      </c>
      <c r="K501" s="650">
        <v>117.80000000000001</v>
      </c>
    </row>
    <row r="502" spans="1:11" ht="27" customHeight="1">
      <c r="A502" s="927" t="s">
        <v>666</v>
      </c>
      <c r="B502" s="927" t="s">
        <v>207</v>
      </c>
      <c r="C502" s="927" t="s">
        <v>474</v>
      </c>
      <c r="D502" s="927" t="s">
        <v>589</v>
      </c>
      <c r="E502" s="927" t="s">
        <v>108</v>
      </c>
      <c r="F502" s="927" t="s">
        <v>211</v>
      </c>
      <c r="G502" s="652">
        <v>250</v>
      </c>
      <c r="H502" s="652">
        <v>594.79</v>
      </c>
      <c r="I502" s="652">
        <v>0</v>
      </c>
      <c r="J502" s="650">
        <v>205</v>
      </c>
      <c r="K502" s="650">
        <v>205</v>
      </c>
    </row>
    <row r="503" spans="1:11" ht="20.100000000000001" customHeight="1">
      <c r="A503" s="927" t="s">
        <v>1179</v>
      </c>
      <c r="B503" s="927" t="s">
        <v>330</v>
      </c>
      <c r="C503" s="927" t="s">
        <v>10</v>
      </c>
      <c r="D503" s="927" t="s">
        <v>1180</v>
      </c>
      <c r="E503" s="650" t="s">
        <v>124</v>
      </c>
      <c r="F503" s="650" t="s">
        <v>332</v>
      </c>
      <c r="G503" s="651">
        <v>750</v>
      </c>
      <c r="H503" s="651">
        <v>5553</v>
      </c>
      <c r="I503" s="652">
        <v>101</v>
      </c>
      <c r="J503" s="650">
        <v>238</v>
      </c>
      <c r="K503" s="650">
        <v>339</v>
      </c>
    </row>
    <row r="504" spans="1:11" ht="24" customHeight="1">
      <c r="A504" s="927" t="s">
        <v>1181</v>
      </c>
      <c r="B504" s="927" t="s">
        <v>330</v>
      </c>
      <c r="C504" s="927" t="s">
        <v>10</v>
      </c>
      <c r="D504" s="927" t="s">
        <v>1180</v>
      </c>
      <c r="E504" s="650" t="s">
        <v>124</v>
      </c>
      <c r="F504" s="650" t="s">
        <v>332</v>
      </c>
      <c r="G504" s="651">
        <v>135</v>
      </c>
      <c r="H504" s="651">
        <v>257</v>
      </c>
      <c r="I504" s="652">
        <v>122</v>
      </c>
      <c r="J504" s="650">
        <v>330</v>
      </c>
      <c r="K504" s="650">
        <v>452</v>
      </c>
    </row>
    <row r="505" spans="1:11" ht="20.100000000000001" customHeight="1">
      <c r="A505" s="927" t="s">
        <v>872</v>
      </c>
      <c r="B505" s="927" t="s">
        <v>330</v>
      </c>
      <c r="C505" s="927" t="s">
        <v>10</v>
      </c>
      <c r="D505" s="927" t="s">
        <v>873</v>
      </c>
      <c r="E505" s="650" t="s">
        <v>158</v>
      </c>
      <c r="F505" s="650" t="s">
        <v>332</v>
      </c>
      <c r="G505" s="651">
        <v>600</v>
      </c>
      <c r="H505" s="651">
        <v>4250.71</v>
      </c>
      <c r="I505" s="652">
        <v>235.22</v>
      </c>
      <c r="J505" s="650">
        <v>292.43</v>
      </c>
      <c r="K505" s="650">
        <v>527.65</v>
      </c>
    </row>
    <row r="506" spans="1:11" ht="24" customHeight="1">
      <c r="A506" s="927" t="s">
        <v>365</v>
      </c>
      <c r="B506" s="927" t="s">
        <v>330</v>
      </c>
      <c r="C506" s="927" t="s">
        <v>10</v>
      </c>
      <c r="D506" s="927" t="s">
        <v>618</v>
      </c>
      <c r="E506" s="650" t="s">
        <v>158</v>
      </c>
      <c r="F506" s="650" t="s">
        <v>332</v>
      </c>
      <c r="G506" s="651">
        <v>12</v>
      </c>
      <c r="H506" s="651">
        <v>25.01</v>
      </c>
      <c r="I506" s="652">
        <v>0</v>
      </c>
      <c r="J506" s="650">
        <v>0</v>
      </c>
      <c r="K506" s="650">
        <v>634</v>
      </c>
    </row>
    <row r="507" spans="1:11" ht="20.100000000000001" customHeight="1">
      <c r="A507" s="927" t="s">
        <v>874</v>
      </c>
      <c r="B507" s="927" t="s">
        <v>330</v>
      </c>
      <c r="C507" s="927" t="s">
        <v>10</v>
      </c>
      <c r="D507" s="927" t="s">
        <v>875</v>
      </c>
      <c r="E507" s="650" t="s">
        <v>158</v>
      </c>
      <c r="F507" s="650" t="s">
        <v>331</v>
      </c>
      <c r="G507" s="651">
        <v>270</v>
      </c>
      <c r="H507" s="651">
        <v>1639.63</v>
      </c>
      <c r="I507" s="652">
        <v>218.9</v>
      </c>
      <c r="J507" s="650">
        <v>221.7</v>
      </c>
      <c r="K507" s="650">
        <v>440.6</v>
      </c>
    </row>
    <row r="508" spans="1:11" ht="20.100000000000001" customHeight="1">
      <c r="A508" s="927" t="s">
        <v>876</v>
      </c>
      <c r="B508" s="927" t="s">
        <v>330</v>
      </c>
      <c r="C508" s="927" t="s">
        <v>10</v>
      </c>
      <c r="D508" s="927" t="s">
        <v>875</v>
      </c>
      <c r="E508" s="1267" t="s">
        <v>158</v>
      </c>
      <c r="F508" s="650" t="s">
        <v>331</v>
      </c>
      <c r="G508" s="651">
        <v>270</v>
      </c>
      <c r="H508" s="651">
        <v>1236.8900000000001</v>
      </c>
      <c r="I508" s="652">
        <v>220.8</v>
      </c>
      <c r="J508" s="650">
        <v>221.7</v>
      </c>
      <c r="K508" s="650">
        <v>442.5</v>
      </c>
    </row>
    <row r="509" spans="1:11" ht="20.100000000000001" customHeight="1">
      <c r="A509" s="927" t="s">
        <v>366</v>
      </c>
      <c r="B509" s="927" t="s">
        <v>330</v>
      </c>
      <c r="C509" s="927" t="s">
        <v>10</v>
      </c>
      <c r="D509" s="927" t="s">
        <v>553</v>
      </c>
      <c r="E509" s="1267" t="s">
        <v>124</v>
      </c>
      <c r="F509" s="650" t="s">
        <v>331</v>
      </c>
      <c r="G509" s="651">
        <v>67.5</v>
      </c>
      <c r="H509" s="651">
        <v>402.43</v>
      </c>
      <c r="I509" s="652">
        <v>188.13</v>
      </c>
      <c r="J509" s="650">
        <v>342.22</v>
      </c>
      <c r="K509" s="650">
        <v>530.36</v>
      </c>
    </row>
    <row r="510" spans="1:11" ht="20.100000000000001" customHeight="1">
      <c r="A510" s="927" t="s">
        <v>367</v>
      </c>
      <c r="B510" s="927" t="s">
        <v>330</v>
      </c>
      <c r="C510" s="927" t="s">
        <v>10</v>
      </c>
      <c r="D510" s="927" t="s">
        <v>553</v>
      </c>
      <c r="E510" s="1267" t="s">
        <v>124</v>
      </c>
      <c r="F510" s="650" t="s">
        <v>331</v>
      </c>
      <c r="G510" s="651">
        <v>120</v>
      </c>
      <c r="H510" s="651">
        <v>698.18</v>
      </c>
      <c r="I510" s="652">
        <v>146.35</v>
      </c>
      <c r="J510" s="650">
        <v>257.76</v>
      </c>
      <c r="K510" s="650">
        <v>404.11</v>
      </c>
    </row>
    <row r="511" spans="1:11" ht="20.100000000000001" customHeight="1">
      <c r="A511" s="927" t="s">
        <v>877</v>
      </c>
      <c r="B511" s="927" t="s">
        <v>330</v>
      </c>
      <c r="C511" s="927" t="s">
        <v>10</v>
      </c>
      <c r="D511" s="927" t="s">
        <v>553</v>
      </c>
      <c r="E511" s="1267" t="s">
        <v>124</v>
      </c>
      <c r="F511" s="650" t="s">
        <v>331</v>
      </c>
      <c r="G511" s="651">
        <v>120</v>
      </c>
      <c r="H511" s="651">
        <v>702.78</v>
      </c>
      <c r="I511" s="652">
        <v>129.62</v>
      </c>
      <c r="J511" s="650">
        <v>258.64999999999998</v>
      </c>
      <c r="K511" s="650">
        <v>388.27</v>
      </c>
    </row>
    <row r="512" spans="1:11" ht="20.100000000000001" customHeight="1">
      <c r="A512" s="927" t="s">
        <v>878</v>
      </c>
      <c r="B512" s="927" t="s">
        <v>330</v>
      </c>
      <c r="C512" s="927" t="s">
        <v>10</v>
      </c>
      <c r="D512" s="927" t="s">
        <v>553</v>
      </c>
      <c r="E512" s="1267" t="s">
        <v>124</v>
      </c>
      <c r="F512" s="650" t="s">
        <v>331</v>
      </c>
      <c r="G512" s="651">
        <v>120</v>
      </c>
      <c r="H512" s="651">
        <v>679.2</v>
      </c>
      <c r="I512" s="652">
        <v>93.67</v>
      </c>
      <c r="J512" s="650">
        <v>316</v>
      </c>
      <c r="K512" s="650">
        <v>409.67</v>
      </c>
    </row>
    <row r="513" spans="1:11" ht="20.100000000000001" customHeight="1">
      <c r="A513" s="927" t="s">
        <v>879</v>
      </c>
      <c r="B513" s="927" t="s">
        <v>330</v>
      </c>
      <c r="C513" s="927" t="s">
        <v>10</v>
      </c>
      <c r="D513" s="927" t="s">
        <v>553</v>
      </c>
      <c r="E513" s="1267" t="s">
        <v>124</v>
      </c>
      <c r="F513" s="650" t="s">
        <v>331</v>
      </c>
      <c r="G513" s="651">
        <v>120</v>
      </c>
      <c r="H513" s="651">
        <v>864.71</v>
      </c>
      <c r="I513" s="652">
        <v>100.3</v>
      </c>
      <c r="J513" s="650">
        <v>2.59</v>
      </c>
      <c r="K513" s="650">
        <v>102.89</v>
      </c>
    </row>
    <row r="514" spans="1:11" ht="20.100000000000001" customHeight="1">
      <c r="A514" s="927" t="s">
        <v>1486</v>
      </c>
      <c r="B514" s="927" t="s">
        <v>330</v>
      </c>
      <c r="C514" s="927" t="s">
        <v>10</v>
      </c>
      <c r="D514" s="927" t="s">
        <v>553</v>
      </c>
      <c r="E514" s="927" t="s">
        <v>369</v>
      </c>
      <c r="F514" s="927" t="s">
        <v>331</v>
      </c>
      <c r="G514" s="652">
        <v>120</v>
      </c>
      <c r="H514" s="652">
        <v>915.8</v>
      </c>
      <c r="I514" s="652">
        <v>67.430000000000007</v>
      </c>
      <c r="J514" s="650">
        <v>8.3800000000000008</v>
      </c>
      <c r="K514" s="650">
        <v>75.8</v>
      </c>
    </row>
    <row r="515" spans="1:11" ht="20.100000000000001" customHeight="1">
      <c r="A515" s="1271" t="s">
        <v>880</v>
      </c>
      <c r="B515" s="1278" t="s">
        <v>330</v>
      </c>
      <c r="C515" s="1278" t="s">
        <v>10</v>
      </c>
      <c r="D515" s="1271" t="s">
        <v>553</v>
      </c>
      <c r="E515" s="1278" t="s">
        <v>124</v>
      </c>
      <c r="F515" s="1271" t="s">
        <v>331</v>
      </c>
      <c r="G515" s="1272">
        <v>1050</v>
      </c>
      <c r="H515" s="1272">
        <v>6858</v>
      </c>
      <c r="I515" s="1279">
        <v>139</v>
      </c>
      <c r="J515" s="650">
        <v>259</v>
      </c>
      <c r="K515" s="650">
        <v>398</v>
      </c>
    </row>
    <row r="516" spans="1:11" ht="20.100000000000001" customHeight="1">
      <c r="A516" s="1271" t="s">
        <v>368</v>
      </c>
      <c r="B516" s="1278" t="s">
        <v>330</v>
      </c>
      <c r="C516" s="1278" t="s">
        <v>10</v>
      </c>
      <c r="D516" s="1271" t="s">
        <v>553</v>
      </c>
      <c r="E516" s="1278" t="s">
        <v>1487</v>
      </c>
      <c r="F516" s="1271" t="s">
        <v>332</v>
      </c>
      <c r="G516" s="1272">
        <v>45</v>
      </c>
      <c r="H516" s="1272">
        <v>271.72000000000003</v>
      </c>
      <c r="I516" s="1279">
        <v>0</v>
      </c>
      <c r="J516" s="650">
        <v>0</v>
      </c>
      <c r="K516" s="650">
        <v>323.86</v>
      </c>
    </row>
    <row r="517" spans="1:11" ht="20.100000000000001" customHeight="1">
      <c r="A517" s="927" t="s">
        <v>370</v>
      </c>
      <c r="B517" s="927" t="s">
        <v>330</v>
      </c>
      <c r="C517" s="927" t="s">
        <v>10</v>
      </c>
      <c r="D517" s="927" t="s">
        <v>553</v>
      </c>
      <c r="E517" s="927" t="s">
        <v>1487</v>
      </c>
      <c r="F517" s="927" t="s">
        <v>332</v>
      </c>
      <c r="G517" s="652">
        <v>45</v>
      </c>
      <c r="H517" s="652">
        <v>302.69</v>
      </c>
      <c r="I517" s="652">
        <v>0</v>
      </c>
      <c r="J517" s="650">
        <v>0</v>
      </c>
      <c r="K517" s="650">
        <v>323.86</v>
      </c>
    </row>
    <row r="518" spans="1:11" ht="20.100000000000001" customHeight="1">
      <c r="A518" s="927" t="s">
        <v>371</v>
      </c>
      <c r="B518" s="927" t="s">
        <v>330</v>
      </c>
      <c r="C518" s="927" t="s">
        <v>10</v>
      </c>
      <c r="D518" s="927" t="s">
        <v>553</v>
      </c>
      <c r="E518" s="650" t="s">
        <v>1487</v>
      </c>
      <c r="F518" s="927" t="s">
        <v>332</v>
      </c>
      <c r="G518" s="652">
        <v>30</v>
      </c>
      <c r="H518" s="652">
        <v>142.78</v>
      </c>
      <c r="I518" s="652">
        <v>0</v>
      </c>
      <c r="J518" s="650">
        <v>0</v>
      </c>
      <c r="K518" s="650">
        <v>323.86</v>
      </c>
    </row>
    <row r="519" spans="1:11" ht="20.100000000000001" customHeight="1">
      <c r="A519" s="927" t="s">
        <v>1488</v>
      </c>
      <c r="B519" s="927" t="s">
        <v>330</v>
      </c>
      <c r="C519" s="927" t="s">
        <v>10</v>
      </c>
      <c r="D519" s="927" t="s">
        <v>553</v>
      </c>
      <c r="E519" s="650" t="s">
        <v>1182</v>
      </c>
      <c r="F519" s="927" t="s">
        <v>345</v>
      </c>
      <c r="G519" s="652">
        <v>67.5</v>
      </c>
      <c r="H519" s="652">
        <v>524.72</v>
      </c>
      <c r="I519" s="652">
        <v>170</v>
      </c>
      <c r="J519" s="650">
        <v>0</v>
      </c>
      <c r="K519" s="650">
        <v>170</v>
      </c>
    </row>
    <row r="520" spans="1:11" ht="20.100000000000001" customHeight="1">
      <c r="A520" s="927" t="s">
        <v>1489</v>
      </c>
      <c r="B520" s="927" t="s">
        <v>330</v>
      </c>
      <c r="C520" s="927" t="s">
        <v>10</v>
      </c>
      <c r="D520" s="927" t="s">
        <v>553</v>
      </c>
      <c r="E520" s="650" t="s">
        <v>1182</v>
      </c>
      <c r="F520" s="927" t="s">
        <v>345</v>
      </c>
      <c r="G520" s="652">
        <v>67.5</v>
      </c>
      <c r="H520" s="652">
        <v>527.69000000000005</v>
      </c>
      <c r="I520" s="652">
        <v>170</v>
      </c>
      <c r="J520" s="650">
        <v>0</v>
      </c>
      <c r="K520" s="650">
        <v>170</v>
      </c>
    </row>
    <row r="521" spans="1:11" ht="20.100000000000001" customHeight="1">
      <c r="A521" s="927" t="s">
        <v>373</v>
      </c>
      <c r="B521" s="927" t="s">
        <v>372</v>
      </c>
      <c r="C521" s="927" t="s">
        <v>8</v>
      </c>
      <c r="D521" s="927" t="s">
        <v>111</v>
      </c>
      <c r="E521" s="650" t="s">
        <v>108</v>
      </c>
      <c r="F521" s="927" t="s">
        <v>374</v>
      </c>
      <c r="G521" s="652">
        <v>105</v>
      </c>
      <c r="H521" s="652">
        <v>603</v>
      </c>
      <c r="I521" s="652">
        <v>193</v>
      </c>
      <c r="J521" s="650">
        <v>193</v>
      </c>
      <c r="K521" s="650">
        <v>385</v>
      </c>
    </row>
    <row r="522" spans="1:11" ht="20.100000000000001" customHeight="1">
      <c r="A522" s="927" t="s">
        <v>378</v>
      </c>
      <c r="B522" s="927" t="s">
        <v>372</v>
      </c>
      <c r="C522" s="927" t="s">
        <v>474</v>
      </c>
      <c r="D522" s="927" t="s">
        <v>379</v>
      </c>
      <c r="E522" s="650" t="s">
        <v>108</v>
      </c>
      <c r="F522" s="927" t="s">
        <v>376</v>
      </c>
      <c r="G522" s="652">
        <v>100</v>
      </c>
      <c r="H522" s="652">
        <v>367.44200000000001</v>
      </c>
      <c r="I522" s="652">
        <v>300</v>
      </c>
      <c r="J522" s="650">
        <v>0</v>
      </c>
      <c r="K522" s="650">
        <v>300</v>
      </c>
    </row>
    <row r="523" spans="1:11" ht="20.100000000000001" customHeight="1">
      <c r="A523" s="927" t="s">
        <v>566</v>
      </c>
      <c r="B523" s="927" t="s">
        <v>372</v>
      </c>
      <c r="C523" s="927" t="s">
        <v>474</v>
      </c>
      <c r="D523" s="927" t="s">
        <v>379</v>
      </c>
      <c r="E523" s="650" t="s">
        <v>120</v>
      </c>
      <c r="F523" s="927" t="s">
        <v>376</v>
      </c>
      <c r="G523" s="652">
        <v>127.2</v>
      </c>
      <c r="H523" s="652">
        <v>423.488</v>
      </c>
      <c r="I523" s="652">
        <v>182</v>
      </c>
      <c r="J523" s="650">
        <v>294</v>
      </c>
      <c r="K523" s="650">
        <v>476</v>
      </c>
    </row>
    <row r="524" spans="1:11" ht="20.100000000000001" customHeight="1">
      <c r="A524" s="927" t="s">
        <v>380</v>
      </c>
      <c r="B524" s="927" t="s">
        <v>372</v>
      </c>
      <c r="C524" s="927" t="s">
        <v>474</v>
      </c>
      <c r="D524" s="927" t="s">
        <v>379</v>
      </c>
      <c r="E524" s="927" t="s">
        <v>120</v>
      </c>
      <c r="F524" s="927" t="s">
        <v>376</v>
      </c>
      <c r="G524" s="652">
        <v>99.5</v>
      </c>
      <c r="H524" s="652">
        <v>293.16699999999997</v>
      </c>
      <c r="I524" s="1269">
        <v>113</v>
      </c>
      <c r="J524" s="650">
        <v>285</v>
      </c>
      <c r="K524" s="650">
        <v>398</v>
      </c>
    </row>
    <row r="525" spans="1:11" ht="20.100000000000001" customHeight="1">
      <c r="A525" s="927" t="s">
        <v>1490</v>
      </c>
      <c r="B525" s="927" t="s">
        <v>372</v>
      </c>
      <c r="C525" s="927" t="s">
        <v>474</v>
      </c>
      <c r="D525" s="927" t="s">
        <v>379</v>
      </c>
      <c r="E525" s="927" t="s">
        <v>120</v>
      </c>
      <c r="F525" s="927" t="s">
        <v>376</v>
      </c>
      <c r="G525" s="652">
        <v>69.754999999999995</v>
      </c>
      <c r="H525" s="652">
        <v>417.03100000000001</v>
      </c>
      <c r="I525" s="1269">
        <v>62</v>
      </c>
      <c r="J525" s="650">
        <v>182</v>
      </c>
      <c r="K525" s="650">
        <v>244</v>
      </c>
    </row>
    <row r="526" spans="1:11" ht="20.100000000000001" customHeight="1">
      <c r="A526" s="1267" t="s">
        <v>881</v>
      </c>
      <c r="B526" s="1267" t="s">
        <v>372</v>
      </c>
      <c r="C526" s="1267" t="s">
        <v>474</v>
      </c>
      <c r="D526" s="1267" t="s">
        <v>379</v>
      </c>
      <c r="E526" s="1267" t="s">
        <v>108</v>
      </c>
      <c r="F526" s="1267" t="s">
        <v>376</v>
      </c>
      <c r="G526" s="1269">
        <v>10.5</v>
      </c>
      <c r="H526" s="1268">
        <v>8.6440000000000001</v>
      </c>
      <c r="I526" s="1269">
        <v>219</v>
      </c>
      <c r="J526" s="650">
        <v>0</v>
      </c>
      <c r="K526" s="650">
        <v>219</v>
      </c>
    </row>
    <row r="527" spans="1:11" ht="20.100000000000001" customHeight="1">
      <c r="A527" s="1267" t="s">
        <v>1491</v>
      </c>
      <c r="B527" s="1267" t="s">
        <v>372</v>
      </c>
      <c r="C527" s="1267" t="s">
        <v>474</v>
      </c>
      <c r="D527" s="1267" t="s">
        <v>381</v>
      </c>
      <c r="E527" s="1267" t="s">
        <v>108</v>
      </c>
      <c r="F527" s="1267" t="s">
        <v>377</v>
      </c>
      <c r="G527" s="1269">
        <v>24</v>
      </c>
      <c r="H527" s="1268">
        <v>87.3</v>
      </c>
      <c r="I527" s="1269">
        <v>482</v>
      </c>
      <c r="J527" s="650">
        <v>0</v>
      </c>
      <c r="K527" s="650">
        <v>482</v>
      </c>
    </row>
    <row r="528" spans="1:11" ht="20.100000000000001" customHeight="1">
      <c r="A528" s="930" t="s">
        <v>1492</v>
      </c>
      <c r="B528" s="930" t="s">
        <v>372</v>
      </c>
      <c r="C528" s="930" t="s">
        <v>474</v>
      </c>
      <c r="D528" s="930" t="s">
        <v>381</v>
      </c>
      <c r="E528" s="930" t="s">
        <v>108</v>
      </c>
      <c r="F528" s="930" t="s">
        <v>377</v>
      </c>
      <c r="G528" s="1275">
        <v>1</v>
      </c>
      <c r="H528" s="1272">
        <v>0.43</v>
      </c>
      <c r="I528" s="1275">
        <v>383</v>
      </c>
      <c r="J528" s="650">
        <v>0</v>
      </c>
      <c r="K528" s="650">
        <v>383</v>
      </c>
    </row>
    <row r="529" spans="1:11" ht="20.100000000000001" customHeight="1">
      <c r="A529" s="930" t="s">
        <v>1493</v>
      </c>
      <c r="B529" s="930" t="s">
        <v>372</v>
      </c>
      <c r="C529" s="930" t="s">
        <v>474</v>
      </c>
      <c r="D529" s="930" t="s">
        <v>381</v>
      </c>
      <c r="E529" s="930" t="s">
        <v>108</v>
      </c>
      <c r="F529" s="927" t="s">
        <v>377</v>
      </c>
      <c r="G529" s="1275">
        <v>0.54</v>
      </c>
      <c r="H529" s="1272">
        <v>0.12</v>
      </c>
      <c r="I529" s="1269">
        <v>372</v>
      </c>
      <c r="J529" s="650">
        <v>0</v>
      </c>
      <c r="K529" s="650">
        <v>372</v>
      </c>
    </row>
    <row r="530" spans="1:11" ht="20.100000000000001" customHeight="1">
      <c r="A530" s="930" t="s">
        <v>1494</v>
      </c>
      <c r="B530" s="930" t="s">
        <v>372</v>
      </c>
      <c r="C530" s="930" t="s">
        <v>474</v>
      </c>
      <c r="D530" s="930" t="s">
        <v>381</v>
      </c>
      <c r="E530" s="930" t="s">
        <v>108</v>
      </c>
      <c r="F530" s="927" t="s">
        <v>377</v>
      </c>
      <c r="G530" s="1275">
        <v>1</v>
      </c>
      <c r="H530" s="1272">
        <v>0.03</v>
      </c>
      <c r="I530" s="1269">
        <v>388</v>
      </c>
      <c r="J530" s="650">
        <v>0</v>
      </c>
      <c r="K530" s="650">
        <v>388</v>
      </c>
    </row>
    <row r="531" spans="1:11" ht="25.5" customHeight="1">
      <c r="A531" s="927" t="s">
        <v>383</v>
      </c>
      <c r="B531" s="927" t="s">
        <v>372</v>
      </c>
      <c r="C531" s="927" t="s">
        <v>474</v>
      </c>
      <c r="D531" s="927" t="s">
        <v>1183</v>
      </c>
      <c r="E531" s="927" t="s">
        <v>108</v>
      </c>
      <c r="F531" s="927" t="s">
        <v>382</v>
      </c>
      <c r="G531" s="652">
        <v>20</v>
      </c>
      <c r="H531" s="652">
        <v>43.32</v>
      </c>
      <c r="I531" s="652">
        <v>30</v>
      </c>
      <c r="J531" s="650">
        <v>30</v>
      </c>
      <c r="K531" s="650">
        <v>60</v>
      </c>
    </row>
    <row r="532" spans="1:11" ht="25.5" customHeight="1">
      <c r="A532" s="927" t="s">
        <v>384</v>
      </c>
      <c r="B532" s="927" t="s">
        <v>372</v>
      </c>
      <c r="C532" s="927" t="s">
        <v>474</v>
      </c>
      <c r="D532" s="927" t="s">
        <v>1183</v>
      </c>
      <c r="E532" s="927" t="s">
        <v>108</v>
      </c>
      <c r="F532" s="927" t="s">
        <v>382</v>
      </c>
      <c r="G532" s="652">
        <v>60</v>
      </c>
      <c r="H532" s="652">
        <v>133.83000000000001</v>
      </c>
      <c r="I532" s="652">
        <v>28</v>
      </c>
      <c r="J532" s="650">
        <v>28</v>
      </c>
      <c r="K532" s="650">
        <v>56</v>
      </c>
    </row>
    <row r="533" spans="1:11" ht="25.5" customHeight="1">
      <c r="A533" s="927" t="s">
        <v>385</v>
      </c>
      <c r="B533" s="927" t="s">
        <v>372</v>
      </c>
      <c r="C533" s="927" t="s">
        <v>474</v>
      </c>
      <c r="D533" s="927" t="s">
        <v>1183</v>
      </c>
      <c r="E533" s="927" t="s">
        <v>108</v>
      </c>
      <c r="F533" s="927" t="s">
        <v>382</v>
      </c>
      <c r="G533" s="652">
        <v>60</v>
      </c>
      <c r="H533" s="652">
        <v>166.61</v>
      </c>
      <c r="I533" s="652">
        <v>19</v>
      </c>
      <c r="J533" s="650">
        <v>19</v>
      </c>
      <c r="K533" s="650">
        <v>38</v>
      </c>
    </row>
    <row r="534" spans="1:11" ht="25.5" customHeight="1">
      <c r="A534" s="927" t="s">
        <v>882</v>
      </c>
      <c r="B534" s="927" t="s">
        <v>372</v>
      </c>
      <c r="C534" s="927" t="s">
        <v>474</v>
      </c>
      <c r="D534" s="927" t="s">
        <v>1183</v>
      </c>
      <c r="E534" s="927" t="s">
        <v>108</v>
      </c>
      <c r="F534" s="927" t="s">
        <v>382</v>
      </c>
      <c r="G534" s="652">
        <v>36</v>
      </c>
      <c r="H534" s="652">
        <v>85.12</v>
      </c>
      <c r="I534" s="652">
        <v>21</v>
      </c>
      <c r="J534" s="650">
        <v>21</v>
      </c>
      <c r="K534" s="650">
        <v>41</v>
      </c>
    </row>
    <row r="535" spans="1:11" ht="25.5" customHeight="1">
      <c r="A535" s="927" t="s">
        <v>386</v>
      </c>
      <c r="B535" s="927" t="s">
        <v>372</v>
      </c>
      <c r="C535" s="927" t="s">
        <v>474</v>
      </c>
      <c r="D535" s="927" t="s">
        <v>1183</v>
      </c>
      <c r="E535" s="927" t="s">
        <v>108</v>
      </c>
      <c r="F535" s="927" t="s">
        <v>382</v>
      </c>
      <c r="G535" s="652">
        <v>1.5</v>
      </c>
      <c r="H535" s="652">
        <v>7.12</v>
      </c>
      <c r="I535" s="652">
        <v>18</v>
      </c>
      <c r="J535" s="650">
        <v>18</v>
      </c>
      <c r="K535" s="650">
        <v>36</v>
      </c>
    </row>
    <row r="536" spans="1:11" ht="25.5" customHeight="1">
      <c r="A536" s="927" t="s">
        <v>1184</v>
      </c>
      <c r="B536" s="927" t="s">
        <v>372</v>
      </c>
      <c r="C536" s="927" t="s">
        <v>474</v>
      </c>
      <c r="D536" s="927" t="s">
        <v>1183</v>
      </c>
      <c r="E536" s="927" t="s">
        <v>108</v>
      </c>
      <c r="F536" s="927" t="s">
        <v>382</v>
      </c>
      <c r="G536" s="652">
        <v>40</v>
      </c>
      <c r="H536" s="652">
        <v>179.82</v>
      </c>
      <c r="I536" s="652">
        <v>73</v>
      </c>
      <c r="J536" s="650">
        <v>73</v>
      </c>
      <c r="K536" s="650">
        <v>146</v>
      </c>
    </row>
    <row r="537" spans="1:11" ht="25.5" customHeight="1">
      <c r="A537" s="927" t="s">
        <v>1495</v>
      </c>
      <c r="B537" s="927" t="s">
        <v>372</v>
      </c>
      <c r="C537" s="927" t="s">
        <v>474</v>
      </c>
      <c r="D537" s="927" t="s">
        <v>1183</v>
      </c>
      <c r="E537" s="927" t="s">
        <v>108</v>
      </c>
      <c r="F537" s="927" t="s">
        <v>382</v>
      </c>
      <c r="G537" s="652">
        <v>1.5</v>
      </c>
      <c r="H537" s="652">
        <v>0.08</v>
      </c>
      <c r="I537" s="652">
        <v>13</v>
      </c>
      <c r="J537" s="650">
        <v>13</v>
      </c>
      <c r="K537" s="650">
        <v>25</v>
      </c>
    </row>
    <row r="538" spans="1:11" ht="25.5" customHeight="1">
      <c r="A538" s="927" t="s">
        <v>696</v>
      </c>
      <c r="B538" s="927" t="s">
        <v>372</v>
      </c>
      <c r="C538" s="927" t="s">
        <v>474</v>
      </c>
      <c r="D538" s="927" t="s">
        <v>1183</v>
      </c>
      <c r="E538" s="927" t="s">
        <v>108</v>
      </c>
      <c r="F538" s="927" t="s">
        <v>382</v>
      </c>
      <c r="G538" s="652">
        <v>126</v>
      </c>
      <c r="H538" s="652">
        <v>363.06</v>
      </c>
      <c r="I538" s="652">
        <v>171</v>
      </c>
      <c r="J538" s="650">
        <v>171</v>
      </c>
      <c r="K538" s="650">
        <v>341</v>
      </c>
    </row>
    <row r="539" spans="1:11" ht="25.5" customHeight="1">
      <c r="A539" s="927" t="s">
        <v>567</v>
      </c>
      <c r="B539" s="927" t="s">
        <v>372</v>
      </c>
      <c r="C539" s="927" t="s">
        <v>474</v>
      </c>
      <c r="D539" s="927" t="s">
        <v>1185</v>
      </c>
      <c r="E539" s="927" t="s">
        <v>108</v>
      </c>
      <c r="F539" s="927" t="s">
        <v>387</v>
      </c>
      <c r="G539" s="652">
        <v>1.05</v>
      </c>
      <c r="H539" s="652">
        <v>1.17</v>
      </c>
      <c r="I539" s="652">
        <v>73</v>
      </c>
      <c r="J539" s="650">
        <v>394</v>
      </c>
      <c r="K539" s="650">
        <v>467</v>
      </c>
    </row>
    <row r="540" spans="1:11" ht="25.5" customHeight="1">
      <c r="A540" s="927" t="s">
        <v>388</v>
      </c>
      <c r="B540" s="927" t="s">
        <v>372</v>
      </c>
      <c r="C540" s="927" t="s">
        <v>474</v>
      </c>
      <c r="D540" s="927" t="s">
        <v>1185</v>
      </c>
      <c r="E540" s="927" t="s">
        <v>108</v>
      </c>
      <c r="F540" s="927" t="s">
        <v>387</v>
      </c>
      <c r="G540" s="652">
        <v>0.5</v>
      </c>
      <c r="H540" s="652">
        <v>0.66</v>
      </c>
      <c r="I540" s="652">
        <v>73</v>
      </c>
      <c r="J540" s="650">
        <v>394</v>
      </c>
      <c r="K540" s="650">
        <v>467</v>
      </c>
    </row>
    <row r="541" spans="1:11" ht="25.5" customHeight="1">
      <c r="A541" s="932" t="s">
        <v>389</v>
      </c>
      <c r="B541" s="932" t="s">
        <v>372</v>
      </c>
      <c r="C541" s="927" t="s">
        <v>474</v>
      </c>
      <c r="D541" s="927" t="s">
        <v>1185</v>
      </c>
      <c r="E541" s="932" t="s">
        <v>108</v>
      </c>
      <c r="F541" s="932" t="s">
        <v>387</v>
      </c>
      <c r="G541" s="1269">
        <v>2</v>
      </c>
      <c r="H541" s="1268">
        <v>1.19</v>
      </c>
      <c r="I541" s="652">
        <v>73</v>
      </c>
      <c r="J541" s="650">
        <v>394</v>
      </c>
      <c r="K541" s="650">
        <v>467</v>
      </c>
    </row>
    <row r="542" spans="1:11" ht="25.5" customHeight="1">
      <c r="A542" s="932" t="s">
        <v>697</v>
      </c>
      <c r="B542" s="932" t="s">
        <v>372</v>
      </c>
      <c r="C542" s="927" t="s">
        <v>474</v>
      </c>
      <c r="D542" s="927" t="s">
        <v>1185</v>
      </c>
      <c r="E542" s="932" t="s">
        <v>108</v>
      </c>
      <c r="F542" s="932" t="s">
        <v>387</v>
      </c>
      <c r="G542" s="1269">
        <v>3</v>
      </c>
      <c r="H542" s="1268">
        <v>1.33</v>
      </c>
      <c r="I542" s="652">
        <v>73</v>
      </c>
      <c r="J542" s="650">
        <v>394</v>
      </c>
      <c r="K542" s="650">
        <v>467</v>
      </c>
    </row>
    <row r="543" spans="1:11" ht="25.5" customHeight="1">
      <c r="A543" s="932" t="s">
        <v>390</v>
      </c>
      <c r="B543" s="932" t="s">
        <v>372</v>
      </c>
      <c r="C543" s="927" t="s">
        <v>474</v>
      </c>
      <c r="D543" s="927" t="s">
        <v>1185</v>
      </c>
      <c r="E543" s="927" t="s">
        <v>108</v>
      </c>
      <c r="F543" s="932" t="s">
        <v>387</v>
      </c>
      <c r="G543" s="1269">
        <v>3</v>
      </c>
      <c r="H543" s="1268">
        <v>6.99</v>
      </c>
      <c r="I543" s="652">
        <v>73</v>
      </c>
      <c r="J543" s="650">
        <v>394</v>
      </c>
      <c r="K543" s="650">
        <v>467</v>
      </c>
    </row>
    <row r="544" spans="1:11" ht="25.5" customHeight="1">
      <c r="A544" s="927" t="s">
        <v>568</v>
      </c>
      <c r="B544" s="927" t="s">
        <v>372</v>
      </c>
      <c r="C544" s="927" t="s">
        <v>474</v>
      </c>
      <c r="D544" s="927" t="s">
        <v>1185</v>
      </c>
      <c r="E544" s="927" t="s">
        <v>108</v>
      </c>
      <c r="F544" s="927" t="s">
        <v>387</v>
      </c>
      <c r="G544" s="652">
        <v>12</v>
      </c>
      <c r="H544" s="652">
        <v>28.59</v>
      </c>
      <c r="I544" s="652">
        <v>73</v>
      </c>
      <c r="J544" s="650">
        <v>394</v>
      </c>
      <c r="K544" s="650">
        <v>467</v>
      </c>
    </row>
    <row r="545" spans="1:12" ht="25.5" customHeight="1">
      <c r="A545" s="927" t="s">
        <v>698</v>
      </c>
      <c r="B545" s="930" t="s">
        <v>372</v>
      </c>
      <c r="C545" s="930" t="s">
        <v>474</v>
      </c>
      <c r="D545" s="930" t="s">
        <v>1185</v>
      </c>
      <c r="E545" s="930" t="s">
        <v>108</v>
      </c>
      <c r="F545" s="930" t="s">
        <v>387</v>
      </c>
      <c r="G545" s="1275">
        <v>0.5</v>
      </c>
      <c r="H545" s="1275">
        <v>0.16</v>
      </c>
      <c r="I545" s="1275">
        <v>73</v>
      </c>
      <c r="J545" s="650">
        <v>394</v>
      </c>
      <c r="K545" s="650">
        <v>467</v>
      </c>
    </row>
    <row r="546" spans="1:12" ht="20.100000000000001" customHeight="1">
      <c r="A546" s="927" t="s">
        <v>391</v>
      </c>
      <c r="B546" s="930" t="s">
        <v>372</v>
      </c>
      <c r="C546" s="930" t="s">
        <v>474</v>
      </c>
      <c r="D546" s="930" t="s">
        <v>1186</v>
      </c>
      <c r="E546" s="930" t="s">
        <v>120</v>
      </c>
      <c r="F546" s="930" t="s">
        <v>375</v>
      </c>
      <c r="G546" s="1275">
        <v>42</v>
      </c>
      <c r="H546" s="1282">
        <v>174.55</v>
      </c>
      <c r="I546" s="1275">
        <v>47</v>
      </c>
      <c r="J546" s="650">
        <v>555</v>
      </c>
      <c r="K546" s="650">
        <v>602</v>
      </c>
    </row>
    <row r="547" spans="1:12" ht="20.100000000000001" customHeight="1">
      <c r="A547" s="927" t="s">
        <v>699</v>
      </c>
      <c r="B547" s="927" t="s">
        <v>372</v>
      </c>
      <c r="C547" s="927" t="s">
        <v>474</v>
      </c>
      <c r="D547" s="927" t="s">
        <v>1186</v>
      </c>
      <c r="E547" s="927" t="s">
        <v>120</v>
      </c>
      <c r="F547" s="927" t="s">
        <v>375</v>
      </c>
      <c r="G547" s="652">
        <v>63</v>
      </c>
      <c r="H547" s="652">
        <v>439.32</v>
      </c>
      <c r="I547" s="652">
        <v>47</v>
      </c>
      <c r="J547" s="650">
        <v>555</v>
      </c>
      <c r="K547" s="650">
        <v>602</v>
      </c>
    </row>
    <row r="548" spans="1:12" ht="20.100000000000001" customHeight="1">
      <c r="A548" s="927" t="s">
        <v>392</v>
      </c>
      <c r="B548" s="927" t="s">
        <v>372</v>
      </c>
      <c r="C548" s="927" t="s">
        <v>474</v>
      </c>
      <c r="D548" s="927" t="s">
        <v>1186</v>
      </c>
      <c r="E548" s="927" t="s">
        <v>108</v>
      </c>
      <c r="F548" s="927" t="s">
        <v>375</v>
      </c>
      <c r="G548" s="652">
        <v>15</v>
      </c>
      <c r="H548" s="652">
        <v>35.5</v>
      </c>
      <c r="I548" s="652">
        <v>47</v>
      </c>
      <c r="J548" s="650">
        <v>555</v>
      </c>
      <c r="K548" s="650">
        <v>602</v>
      </c>
    </row>
    <row r="549" spans="1:12" ht="24" customHeight="1">
      <c r="A549" s="927" t="s">
        <v>1496</v>
      </c>
      <c r="B549" s="927" t="s">
        <v>372</v>
      </c>
      <c r="C549" s="927" t="s">
        <v>8</v>
      </c>
      <c r="D549" s="927" t="s">
        <v>1497</v>
      </c>
      <c r="E549" s="927" t="s">
        <v>120</v>
      </c>
      <c r="F549" s="927" t="s">
        <v>375</v>
      </c>
      <c r="G549" s="652">
        <v>726.6</v>
      </c>
      <c r="H549" s="652">
        <v>4515.95</v>
      </c>
      <c r="I549" s="652">
        <v>0</v>
      </c>
      <c r="J549" s="650">
        <v>0</v>
      </c>
      <c r="K549" s="650" t="s">
        <v>1498</v>
      </c>
    </row>
    <row r="550" spans="1:12" ht="39" customHeight="1">
      <c r="A550" s="927" t="s">
        <v>1499</v>
      </c>
      <c r="B550" s="927" t="s">
        <v>259</v>
      </c>
      <c r="C550" s="927" t="s">
        <v>474</v>
      </c>
      <c r="D550" s="927" t="s">
        <v>595</v>
      </c>
      <c r="E550" s="927" t="s">
        <v>108</v>
      </c>
      <c r="F550" s="927" t="s">
        <v>593</v>
      </c>
      <c r="G550" s="652">
        <v>875.6</v>
      </c>
      <c r="H550" s="652">
        <v>385.08</v>
      </c>
      <c r="I550" s="652">
        <v>686</v>
      </c>
      <c r="J550" s="650">
        <v>0</v>
      </c>
      <c r="K550" s="650">
        <v>686</v>
      </c>
    </row>
    <row r="551" spans="1:12" ht="20.100000000000001" customHeight="1">
      <c r="A551" s="927" t="s">
        <v>1500</v>
      </c>
      <c r="B551" s="927" t="s">
        <v>259</v>
      </c>
      <c r="C551" s="927" t="s">
        <v>474</v>
      </c>
      <c r="D551" s="927" t="s">
        <v>595</v>
      </c>
      <c r="E551" s="927" t="s">
        <v>108</v>
      </c>
      <c r="F551" s="927" t="s">
        <v>593</v>
      </c>
      <c r="G551" s="652">
        <v>900</v>
      </c>
      <c r="H551" s="652">
        <v>977.21</v>
      </c>
      <c r="I551" s="652">
        <v>419</v>
      </c>
      <c r="J551" s="650">
        <v>0</v>
      </c>
      <c r="K551" s="650">
        <v>419</v>
      </c>
    </row>
    <row r="552" spans="1:12" ht="20.100000000000001" customHeight="1">
      <c r="A552" s="927" t="s">
        <v>1501</v>
      </c>
      <c r="B552" s="927" t="s">
        <v>259</v>
      </c>
      <c r="C552" s="927" t="s">
        <v>474</v>
      </c>
      <c r="D552" s="927" t="s">
        <v>595</v>
      </c>
      <c r="E552" s="927" t="s">
        <v>108</v>
      </c>
      <c r="F552" s="927" t="s">
        <v>593</v>
      </c>
      <c r="G552" s="652">
        <v>234</v>
      </c>
      <c r="H552" s="652">
        <v>161.51</v>
      </c>
      <c r="I552" s="652">
        <v>679</v>
      </c>
      <c r="J552" s="650">
        <v>0</v>
      </c>
      <c r="K552" s="650">
        <v>679</v>
      </c>
    </row>
    <row r="553" spans="1:12">
      <c r="A553" s="1283"/>
      <c r="B553" s="1283"/>
      <c r="C553" s="1283"/>
      <c r="D553" s="1283"/>
      <c r="E553" s="1261"/>
      <c r="F553" s="1261"/>
      <c r="G553" s="1284"/>
      <c r="H553" s="1284"/>
      <c r="I553" s="1285"/>
    </row>
    <row r="554" spans="1:12">
      <c r="A554" s="1283"/>
      <c r="B554" s="1283"/>
      <c r="C554" s="1283"/>
      <c r="D554" s="1283"/>
      <c r="E554" s="1261"/>
      <c r="F554" s="1261"/>
      <c r="G554" s="1284"/>
      <c r="H554" s="1284"/>
      <c r="I554" s="1285"/>
    </row>
    <row r="555" spans="1:12">
      <c r="A555" s="1988" t="s">
        <v>700</v>
      </c>
      <c r="B555" s="1988"/>
      <c r="C555" s="1988"/>
      <c r="D555" s="1988"/>
      <c r="E555" s="1988"/>
      <c r="F555" s="1988"/>
      <c r="G555" s="1988"/>
      <c r="H555" s="1988"/>
      <c r="I555" s="1285"/>
    </row>
    <row r="556" spans="1:12">
      <c r="A556" s="1283"/>
      <c r="B556" s="1283"/>
      <c r="C556" s="1283"/>
      <c r="D556" s="1283"/>
      <c r="E556" s="1261"/>
      <c r="F556" s="1261"/>
      <c r="G556" s="1284"/>
      <c r="H556" s="1284"/>
      <c r="I556" s="1285"/>
    </row>
    <row r="557" spans="1:12">
      <c r="A557" s="931"/>
      <c r="B557" s="931"/>
      <c r="C557" s="931"/>
      <c r="D557" s="931"/>
      <c r="E557" s="1286"/>
      <c r="F557" s="1286"/>
      <c r="G557" s="1287"/>
      <c r="H557" s="1287"/>
      <c r="I557" s="1288"/>
      <c r="L557" s="1520">
        <v>45</v>
      </c>
    </row>
    <row r="558" spans="1:12">
      <c r="A558" s="1289"/>
      <c r="B558" s="931"/>
      <c r="C558" s="931"/>
      <c r="D558" s="931"/>
      <c r="E558" s="1286"/>
      <c r="F558" s="1286"/>
      <c r="G558" s="1287"/>
      <c r="H558" s="1290"/>
      <c r="I558" s="1288"/>
    </row>
    <row r="559" spans="1:12">
      <c r="A559" s="931"/>
      <c r="B559" s="931"/>
      <c r="C559" s="931"/>
      <c r="D559" s="931"/>
      <c r="E559" s="1286"/>
      <c r="F559" s="931"/>
      <c r="G559" s="1287"/>
      <c r="H559" s="1287"/>
      <c r="I559" s="1288"/>
    </row>
    <row r="560" spans="1:12">
      <c r="A560" s="1283"/>
      <c r="B560" s="1283"/>
      <c r="C560" s="1283"/>
      <c r="D560" s="1283"/>
      <c r="E560" s="1261"/>
      <c r="F560" s="1261"/>
      <c r="G560" s="1284"/>
      <c r="H560" s="1284"/>
      <c r="I560" s="1285"/>
    </row>
    <row r="561" spans="1:9">
      <c r="A561" s="1283"/>
      <c r="B561" s="1283"/>
      <c r="C561" s="1283"/>
      <c r="D561" s="1283"/>
      <c r="E561" s="1261"/>
      <c r="F561" s="1261"/>
      <c r="G561" s="1284"/>
      <c r="H561" s="1284"/>
      <c r="I561" s="1285"/>
    </row>
    <row r="562" spans="1:9">
      <c r="A562" s="1283"/>
      <c r="B562" s="1283"/>
      <c r="C562" s="1283"/>
      <c r="D562" s="1283"/>
      <c r="E562" s="1261"/>
      <c r="F562" s="1261"/>
      <c r="G562" s="1284"/>
      <c r="H562" s="1284"/>
      <c r="I562" s="1285"/>
    </row>
    <row r="563" spans="1:9">
      <c r="A563" s="1283"/>
      <c r="B563" s="1283"/>
      <c r="C563" s="1283"/>
      <c r="D563" s="1283"/>
      <c r="E563" s="1261"/>
      <c r="F563" s="1261"/>
      <c r="G563" s="1284"/>
      <c r="H563" s="1284"/>
      <c r="I563" s="1285"/>
    </row>
    <row r="564" spans="1:9">
      <c r="A564" s="1291"/>
      <c r="B564" s="1291"/>
      <c r="C564" s="1291"/>
      <c r="D564" s="1291"/>
      <c r="E564" s="1292"/>
      <c r="F564" s="1292"/>
      <c r="G564" s="1293"/>
      <c r="H564" s="1293"/>
      <c r="I564" s="1294"/>
    </row>
    <row r="565" spans="1:9">
      <c r="A565" s="1295"/>
      <c r="B565" s="1295"/>
      <c r="C565" s="1295"/>
      <c r="D565" s="1295"/>
      <c r="E565" s="1296"/>
      <c r="F565" s="1296"/>
      <c r="G565" s="1297"/>
      <c r="H565" s="1298"/>
      <c r="I565" s="1299"/>
    </row>
    <row r="566" spans="1:9">
      <c r="A566" s="1295"/>
      <c r="B566" s="1295"/>
      <c r="C566" s="1295"/>
      <c r="D566" s="1295"/>
      <c r="E566" s="1296"/>
      <c r="F566" s="1296"/>
      <c r="G566" s="1297"/>
      <c r="H566" s="1298"/>
      <c r="I566" s="1299"/>
    </row>
    <row r="567" spans="1:9">
      <c r="A567" s="1295"/>
      <c r="B567" s="1295"/>
      <c r="C567" s="1295"/>
      <c r="D567" s="1295"/>
      <c r="E567" s="1296"/>
      <c r="F567" s="1296"/>
      <c r="G567" s="1297"/>
      <c r="H567" s="1298"/>
      <c r="I567" s="1299"/>
    </row>
    <row r="568" spans="1:9">
      <c r="A568" s="1295"/>
      <c r="B568" s="1295"/>
      <c r="C568" s="1295"/>
      <c r="D568" s="1295"/>
      <c r="E568" s="1296"/>
      <c r="F568" s="1296"/>
      <c r="G568" s="1297"/>
      <c r="H568" s="1298"/>
      <c r="I568" s="1299"/>
    </row>
    <row r="569" spans="1:9">
      <c r="A569" s="1295"/>
      <c r="B569" s="1295"/>
      <c r="C569" s="1295"/>
      <c r="D569" s="1295"/>
      <c r="E569" s="1296"/>
      <c r="F569" s="1296"/>
      <c r="G569" s="1297"/>
      <c r="H569" s="1298"/>
      <c r="I569" s="1299"/>
    </row>
    <row r="570" spans="1:9">
      <c r="A570" s="1295"/>
      <c r="B570" s="1295"/>
      <c r="C570" s="1295"/>
      <c r="D570" s="1295"/>
      <c r="E570" s="1296"/>
      <c r="F570" s="1296"/>
      <c r="G570" s="1297"/>
      <c r="H570" s="1298"/>
      <c r="I570" s="1299"/>
    </row>
    <row r="571" spans="1:9">
      <c r="A571" s="1295"/>
      <c r="B571" s="1295"/>
      <c r="C571" s="1295"/>
      <c r="D571" s="1295"/>
      <c r="E571" s="1296"/>
      <c r="F571" s="1296"/>
      <c r="G571" s="1297"/>
      <c r="H571" s="1298"/>
      <c r="I571" s="1299"/>
    </row>
    <row r="572" spans="1:9">
      <c r="A572" s="1283"/>
      <c r="B572" s="1283"/>
      <c r="C572" s="1283"/>
      <c r="D572" s="1283"/>
      <c r="E572" s="1261"/>
      <c r="F572" s="1261"/>
      <c r="G572" s="1284"/>
      <c r="H572" s="1300"/>
      <c r="I572" s="1285"/>
    </row>
    <row r="573" spans="1:9">
      <c r="A573" s="1283"/>
      <c r="B573" s="1283"/>
      <c r="C573" s="1283"/>
      <c r="D573" s="1283"/>
      <c r="E573" s="1261"/>
      <c r="F573" s="1261"/>
      <c r="G573" s="1284"/>
      <c r="H573" s="1300"/>
      <c r="I573" s="1285"/>
    </row>
    <row r="574" spans="1:9">
      <c r="A574" s="1283"/>
      <c r="B574" s="1283"/>
      <c r="C574" s="1283"/>
      <c r="D574" s="1283"/>
      <c r="E574" s="1261"/>
      <c r="F574" s="1261"/>
      <c r="G574" s="1284"/>
      <c r="H574" s="1300"/>
      <c r="I574" s="1285"/>
    </row>
    <row r="575" spans="1:9">
      <c r="A575" s="1283"/>
      <c r="B575" s="1283"/>
      <c r="C575" s="1283"/>
      <c r="D575" s="1283"/>
      <c r="E575" s="1261"/>
      <c r="F575" s="1261"/>
      <c r="G575" s="1284"/>
      <c r="H575" s="1300"/>
      <c r="I575" s="1285"/>
    </row>
    <row r="576" spans="1:9">
      <c r="A576" s="1283"/>
      <c r="B576" s="1283"/>
      <c r="C576" s="1283"/>
      <c r="D576" s="1283"/>
      <c r="E576" s="1261"/>
      <c r="F576" s="1261"/>
      <c r="G576" s="1284"/>
      <c r="H576" s="1300"/>
      <c r="I576" s="1285"/>
    </row>
    <row r="577" spans="1:9">
      <c r="A577" s="1283"/>
      <c r="B577" s="1283"/>
      <c r="C577" s="1283"/>
      <c r="D577" s="1283"/>
      <c r="E577" s="1261"/>
      <c r="F577" s="1261"/>
      <c r="G577" s="1301"/>
      <c r="H577" s="1300"/>
      <c r="I577" s="1285"/>
    </row>
    <row r="578" spans="1:9">
      <c r="A578" s="1283"/>
      <c r="B578" s="1283"/>
      <c r="C578" s="1283"/>
      <c r="D578" s="1283"/>
      <c r="E578" s="1261"/>
      <c r="F578" s="1261"/>
      <c r="G578" s="1301"/>
      <c r="H578" s="1300"/>
      <c r="I578" s="1285"/>
    </row>
    <row r="579" spans="1:9">
      <c r="A579" s="1295"/>
      <c r="B579" s="1295"/>
      <c r="C579" s="1295"/>
      <c r="D579" s="1295"/>
      <c r="E579" s="1296"/>
      <c r="F579" s="1296"/>
      <c r="G579" s="1297"/>
      <c r="H579" s="1297"/>
      <c r="I579" s="1299"/>
    </row>
    <row r="580" spans="1:9">
      <c r="A580" s="1295"/>
      <c r="B580" s="1295"/>
      <c r="C580" s="1295"/>
      <c r="D580" s="1295"/>
      <c r="E580" s="1296"/>
      <c r="F580" s="1296"/>
      <c r="G580" s="1297"/>
      <c r="H580" s="1297"/>
      <c r="I580" s="1299"/>
    </row>
    <row r="581" spans="1:9">
      <c r="A581" s="1295"/>
      <c r="B581" s="1295"/>
      <c r="C581" s="1295"/>
      <c r="D581" s="1295"/>
      <c r="E581" s="1296"/>
      <c r="F581" s="1296"/>
      <c r="G581" s="1297"/>
      <c r="H581" s="1297"/>
      <c r="I581" s="1299"/>
    </row>
    <row r="582" spans="1:9">
      <c r="A582" s="1302"/>
      <c r="B582" s="1303"/>
      <c r="C582" s="1303"/>
      <c r="D582" s="1303"/>
      <c r="E582" s="1302"/>
      <c r="F582" s="1302"/>
      <c r="G582" s="1302"/>
      <c r="H582" s="1304"/>
      <c r="I582" s="1304"/>
    </row>
    <row r="583" spans="1:9">
      <c r="A583" s="1986" t="s">
        <v>700</v>
      </c>
      <c r="B583" s="1986"/>
      <c r="C583" s="1986"/>
      <c r="D583" s="1986"/>
      <c r="E583" s="1986"/>
      <c r="F583" s="1986"/>
      <c r="G583" s="1986"/>
      <c r="H583" s="1986"/>
      <c r="I583" s="9"/>
    </row>
  </sheetData>
  <mergeCells count="3">
    <mergeCell ref="A583:H583"/>
    <mergeCell ref="A1:K1"/>
    <mergeCell ref="A555:H555"/>
  </mergeCells>
  <printOptions horizontalCentered="1" verticalCentered="1"/>
  <pageMargins left="0.75" right="0.75" top="1" bottom="1" header="0.5" footer="0.5"/>
  <pageSetup scale="48" fitToHeight="0" orientation="portrait" r:id="rId1"/>
  <headerFooter alignWithMargins="0"/>
  <rowBreaks count="3" manualBreakCount="3">
    <brk id="475" max="11" man="1"/>
    <brk id="533" max="11" man="1"/>
    <brk id="557"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002060"/>
  </sheetPr>
  <dimension ref="A1:I53"/>
  <sheetViews>
    <sheetView view="pageBreakPreview" zoomScale="64" zoomScaleNormal="100" zoomScaleSheetLayoutView="64" workbookViewId="0">
      <selection activeCell="J28" sqref="J28"/>
    </sheetView>
  </sheetViews>
  <sheetFormatPr defaultColWidth="9.140625" defaultRowHeight="12.75"/>
  <cols>
    <col min="1" max="1" width="9.140625" style="1405"/>
    <col min="2" max="2" width="9.140625" style="1327"/>
    <col min="3" max="3" width="34" style="1327" customWidth="1"/>
    <col min="4" max="4" width="38.42578125" style="1327" customWidth="1"/>
    <col min="5" max="5" width="7" style="1327" customWidth="1"/>
    <col min="6" max="6" width="19.42578125" style="1327" customWidth="1"/>
    <col min="7" max="7" width="34.140625" style="1327" customWidth="1"/>
    <col min="8" max="16384" width="9.140625" style="1327"/>
  </cols>
  <sheetData>
    <row r="1" spans="1:9" s="1405" customFormat="1" ht="13.5" thickBot="1"/>
    <row r="2" spans="1:9" ht="32.25" customHeight="1" thickBot="1">
      <c r="B2" s="1989" t="str">
        <f>"OUTSTANDING DUES (MORE THAN 45 DAYS ) OF POWER UTILITIES (PRINCIPAL AND SURCHARGE) PAYABLE TO CPSUs AS ON "&amp;TEXT(EOMONTH(BTY,0)," dd-mm-yyyy")</f>
        <v>OUTSTANDING DUES (MORE THAN 45 DAYS ) OF POWER UTILITIES (PRINCIPAL AND SURCHARGE) PAYABLE TO CPSUs AS ON  31-05-2021</v>
      </c>
      <c r="C2" s="1990"/>
      <c r="D2" s="1990"/>
      <c r="E2" s="1991"/>
      <c r="G2" s="1337"/>
    </row>
    <row r="3" spans="1:9" s="1337" customFormat="1" ht="12.75" customHeight="1">
      <c r="A3" s="1405"/>
      <c r="B3" s="1521"/>
      <c r="C3" s="1366"/>
      <c r="D3" s="1366"/>
      <c r="E3" s="1522" t="s">
        <v>1901</v>
      </c>
    </row>
    <row r="4" spans="1:9" ht="12.75" customHeight="1">
      <c r="B4" s="1523"/>
      <c r="C4" s="1364" t="s">
        <v>1080</v>
      </c>
      <c r="D4" s="1360"/>
      <c r="E4" s="1524"/>
      <c r="F4" s="1337"/>
      <c r="G4" s="12"/>
      <c r="H4" s="1337"/>
      <c r="I4" s="1337"/>
    </row>
    <row r="5" spans="1:9" ht="13.5" customHeight="1">
      <c r="B5" s="1523">
        <v>1</v>
      </c>
      <c r="C5" s="1358" t="s">
        <v>502</v>
      </c>
      <c r="D5" s="1359">
        <f>G5</f>
        <v>31.15</v>
      </c>
      <c r="E5" s="1524"/>
      <c r="F5" s="1337" t="s">
        <v>1888</v>
      </c>
      <c r="G5" s="1337">
        <f>VLOOKUP($F5,Data!$B$504:$AA$659,26,FALSE)</f>
        <v>31.15</v>
      </c>
    </row>
    <row r="6" spans="1:9">
      <c r="B6" s="1523">
        <v>2</v>
      </c>
      <c r="C6" s="1358" t="s">
        <v>1227</v>
      </c>
      <c r="D6" s="1359">
        <f t="shared" ref="D6:D51" si="0">G6</f>
        <v>2.92</v>
      </c>
      <c r="E6" s="1524"/>
      <c r="F6" s="1337" t="s">
        <v>1889</v>
      </c>
      <c r="G6" s="1337">
        <f>VLOOKUP($F6,Data!$B$504:$AA$659,26,FALSE)</f>
        <v>2.92</v>
      </c>
    </row>
    <row r="7" spans="1:9">
      <c r="B7" s="1523">
        <v>3</v>
      </c>
      <c r="C7" s="1358" t="s">
        <v>487</v>
      </c>
      <c r="D7" s="1359">
        <f t="shared" si="0"/>
        <v>1443.2700000000002</v>
      </c>
      <c r="E7" s="1524"/>
      <c r="F7" s="1337" t="s">
        <v>1890</v>
      </c>
      <c r="G7" s="1337">
        <f>VLOOKUP($F7,Data!$B$504:$AA$659,26,FALSE)</f>
        <v>1443.2700000000002</v>
      </c>
    </row>
    <row r="8" spans="1:9">
      <c r="B8" s="1523">
        <v>4</v>
      </c>
      <c r="C8" s="1358" t="s">
        <v>485</v>
      </c>
      <c r="D8" s="1359">
        <f t="shared" si="0"/>
        <v>6818.0699999999988</v>
      </c>
      <c r="E8" s="1524"/>
      <c r="F8" s="1337" t="s">
        <v>1891</v>
      </c>
      <c r="G8" s="1337">
        <f>VLOOKUP($F8,Data!$B$504:$AA$659,26,FALSE)</f>
        <v>6818.0699999999988</v>
      </c>
    </row>
    <row r="9" spans="1:9">
      <c r="B9" s="1523">
        <v>5</v>
      </c>
      <c r="C9" s="1358" t="s">
        <v>492</v>
      </c>
      <c r="D9" s="1359">
        <f t="shared" si="0"/>
        <v>166.91000000000003</v>
      </c>
      <c r="E9" s="1524"/>
      <c r="F9" s="1337" t="s">
        <v>1892</v>
      </c>
      <c r="G9" s="1337">
        <f>VLOOKUP($F9,Data!$B$504:$AA$659,26,FALSE)</f>
        <v>166.91000000000003</v>
      </c>
    </row>
    <row r="10" spans="1:9">
      <c r="B10" s="1523">
        <v>6</v>
      </c>
      <c r="C10" s="1358" t="s">
        <v>489</v>
      </c>
      <c r="D10" s="1359">
        <f t="shared" si="0"/>
        <v>427.46</v>
      </c>
      <c r="E10" s="1524"/>
      <c r="F10" s="1337" t="s">
        <v>1893</v>
      </c>
      <c r="G10" s="1337">
        <f>VLOOKUP($F10,Data!$B$504:$AA$659,26,FALSE)</f>
        <v>427.46</v>
      </c>
    </row>
    <row r="11" spans="1:9">
      <c r="B11" s="1523">
        <v>7</v>
      </c>
      <c r="C11" s="1358" t="s">
        <v>1081</v>
      </c>
      <c r="D11" s="1359">
        <f t="shared" si="0"/>
        <v>25.72</v>
      </c>
      <c r="E11" s="1524"/>
      <c r="F11" s="1337" t="s">
        <v>1081</v>
      </c>
      <c r="G11" s="1337">
        <f>VLOOKUP($F11,Data!$B$504:$AA$659,26,FALSE)</f>
        <v>25.72</v>
      </c>
    </row>
    <row r="12" spans="1:9">
      <c r="B12" s="1523">
        <v>8</v>
      </c>
      <c r="C12" s="1358" t="s">
        <v>626</v>
      </c>
      <c r="D12" s="1359">
        <f t="shared" si="0"/>
        <v>1887.76</v>
      </c>
      <c r="E12" s="1524"/>
      <c r="F12" s="1337" t="s">
        <v>1894</v>
      </c>
      <c r="G12" s="1337">
        <f>VLOOKUP($F12,Data!$B$504:$AA$659,26,FALSE)</f>
        <v>1887.76</v>
      </c>
    </row>
    <row r="13" spans="1:9">
      <c r="B13" s="1523">
        <v>9</v>
      </c>
      <c r="C13" s="1358" t="s">
        <v>632</v>
      </c>
      <c r="D13" s="1359">
        <f t="shared" si="0"/>
        <v>0.78439999999999999</v>
      </c>
      <c r="E13" s="1524"/>
      <c r="F13" s="12" t="s">
        <v>1833</v>
      </c>
      <c r="G13" s="1337">
        <f>VLOOKUP($F13,Data!$B$504:$AA$659,26,FALSE)</f>
        <v>0.78439999999999999</v>
      </c>
    </row>
    <row r="14" spans="1:9">
      <c r="B14" s="1523">
        <v>10</v>
      </c>
      <c r="C14" s="1358" t="s">
        <v>503</v>
      </c>
      <c r="D14" s="1359">
        <f t="shared" si="0"/>
        <v>74.52000000000001</v>
      </c>
      <c r="E14" s="1524"/>
      <c r="F14" s="12" t="s">
        <v>1835</v>
      </c>
      <c r="G14" s="1337">
        <f>VLOOKUP($F14,Data!$B$504:$AA$659,26,FALSE)</f>
        <v>74.52000000000001</v>
      </c>
    </row>
    <row r="15" spans="1:9">
      <c r="B15" s="1523">
        <v>11</v>
      </c>
      <c r="C15" s="1358" t="s">
        <v>1082</v>
      </c>
      <c r="D15" s="1359">
        <f t="shared" si="0"/>
        <v>0.06</v>
      </c>
      <c r="E15" s="1524"/>
      <c r="F15" s="1337" t="s">
        <v>1840</v>
      </c>
      <c r="G15" s="1337">
        <f>VLOOKUP($F15,Data!$B$504:$AA$659,26,FALSE)</f>
        <v>0.06</v>
      </c>
    </row>
    <row r="16" spans="1:9">
      <c r="B16" s="1523">
        <v>12</v>
      </c>
      <c r="C16" s="1358" t="s">
        <v>494</v>
      </c>
      <c r="D16" s="1359">
        <f t="shared" si="0"/>
        <v>5.52</v>
      </c>
      <c r="E16" s="1524"/>
      <c r="F16" s="12" t="s">
        <v>1842</v>
      </c>
      <c r="G16" s="1337">
        <f>VLOOKUP($F16,Data!$B$504:$AA$659,26,FALSE)</f>
        <v>5.52</v>
      </c>
    </row>
    <row r="17" spans="2:9">
      <c r="B17" s="1525">
        <v>13</v>
      </c>
      <c r="C17" s="1361" t="s">
        <v>1217</v>
      </c>
      <c r="D17" s="1359">
        <f t="shared" si="0"/>
        <v>0</v>
      </c>
      <c r="E17" s="1524"/>
      <c r="F17" s="12" t="s">
        <v>1217</v>
      </c>
      <c r="G17" s="1337">
        <f>VLOOKUP($F17,Data!$B$504:$AA$659,26,FALSE)</f>
        <v>0</v>
      </c>
    </row>
    <row r="18" spans="2:9">
      <c r="B18" s="1523">
        <v>14</v>
      </c>
      <c r="C18" s="1358" t="s">
        <v>504</v>
      </c>
      <c r="D18" s="1359">
        <f t="shared" si="0"/>
        <v>0</v>
      </c>
      <c r="E18" s="1524"/>
      <c r="F18" s="12" t="s">
        <v>1895</v>
      </c>
      <c r="G18" s="1337">
        <f>VLOOKUP($F18,Data!$B$504:$AA$659,26,FALSE)</f>
        <v>0</v>
      </c>
    </row>
    <row r="19" spans="2:9">
      <c r="B19" s="1523">
        <v>15</v>
      </c>
      <c r="C19" s="1358" t="s">
        <v>522</v>
      </c>
      <c r="D19" s="1359">
        <f t="shared" si="0"/>
        <v>790.53369999999995</v>
      </c>
      <c r="E19" s="1524"/>
      <c r="F19" s="1337" t="s">
        <v>1896</v>
      </c>
      <c r="G19" s="1337">
        <f>VLOOKUP($F19,Data!$B$504:$AA$659,26,FALSE)</f>
        <v>790.53369999999995</v>
      </c>
    </row>
    <row r="20" spans="2:9">
      <c r="B20" s="1523">
        <v>16</v>
      </c>
      <c r="C20" s="1358" t="s">
        <v>523</v>
      </c>
      <c r="D20" s="1359">
        <f t="shared" si="0"/>
        <v>0.11000000000000001</v>
      </c>
      <c r="E20" s="1524"/>
      <c r="F20" s="1337" t="s">
        <v>1897</v>
      </c>
      <c r="G20" s="1337">
        <f>VLOOKUP($F20,Data!$B$504:$AA$659,26,FALSE)</f>
        <v>0.11000000000000001</v>
      </c>
    </row>
    <row r="21" spans="2:9">
      <c r="B21" s="1523">
        <v>17</v>
      </c>
      <c r="C21" s="1358" t="s">
        <v>491</v>
      </c>
      <c r="D21" s="1359">
        <f t="shared" si="0"/>
        <v>93.33</v>
      </c>
      <c r="E21" s="1524"/>
      <c r="F21" s="12" t="s">
        <v>1850</v>
      </c>
      <c r="G21" s="1337">
        <f>VLOOKUP($F21,Data!$B$504:$AA$659,26,FALSE)</f>
        <v>93.33</v>
      </c>
    </row>
    <row r="22" spans="2:9">
      <c r="B22" s="1523">
        <v>18</v>
      </c>
      <c r="C22" s="1358" t="s">
        <v>1083</v>
      </c>
      <c r="D22" s="1359">
        <f t="shared" si="0"/>
        <v>0.82</v>
      </c>
      <c r="E22" s="1524"/>
      <c r="F22" s="1337" t="s">
        <v>1852</v>
      </c>
      <c r="G22" s="1337">
        <f>VLOOKUP($F22,Data!$B$573:$AA$573,26,FALSE)</f>
        <v>0.82</v>
      </c>
      <c r="I22" s="12"/>
    </row>
    <row r="23" spans="2:9">
      <c r="B23" s="1523">
        <v>19</v>
      </c>
      <c r="C23" s="1358" t="s">
        <v>505</v>
      </c>
      <c r="D23" s="1359">
        <f t="shared" si="0"/>
        <v>0</v>
      </c>
      <c r="E23" s="1524"/>
      <c r="F23" s="1337" t="s">
        <v>1852</v>
      </c>
      <c r="G23" s="1337">
        <f>VLOOKUP($F23,Data!$B$575:$AA$575,26,FALSE)</f>
        <v>0</v>
      </c>
    </row>
    <row r="24" spans="2:9" ht="12.75" customHeight="1">
      <c r="B24" s="1523">
        <v>20</v>
      </c>
      <c r="C24" s="1358" t="s">
        <v>1084</v>
      </c>
      <c r="D24" s="1359">
        <f t="shared" si="0"/>
        <v>0</v>
      </c>
      <c r="E24" s="1524"/>
      <c r="F24" s="1337" t="s">
        <v>1084</v>
      </c>
      <c r="G24" s="1337">
        <f>VLOOKUP($F24,Data!$B$504:$AA$659,26,FALSE)</f>
        <v>0</v>
      </c>
    </row>
    <row r="25" spans="2:9" ht="13.5" customHeight="1">
      <c r="B25" s="1523">
        <v>21</v>
      </c>
      <c r="C25" s="1358" t="s">
        <v>1085</v>
      </c>
      <c r="D25" s="1359">
        <f t="shared" si="0"/>
        <v>3.3</v>
      </c>
      <c r="E25" s="1524"/>
      <c r="F25" s="1337" t="s">
        <v>1085</v>
      </c>
      <c r="G25" s="1337">
        <f>VLOOKUP($F25,Data!$B$504:$AA$659,26,FALSE)</f>
        <v>3.3</v>
      </c>
    </row>
    <row r="26" spans="2:9">
      <c r="B26" s="1523">
        <v>22</v>
      </c>
      <c r="C26" s="1358" t="s">
        <v>530</v>
      </c>
      <c r="D26" s="1359">
        <f t="shared" si="0"/>
        <v>808.9899999999999</v>
      </c>
      <c r="E26" s="1524"/>
      <c r="F26" s="1337" t="s">
        <v>1898</v>
      </c>
      <c r="G26" s="1337">
        <f>VLOOKUP($F26,Data!$B$504:$AA$659,26,FALSE)</f>
        <v>808.9899999999999</v>
      </c>
    </row>
    <row r="27" spans="2:9">
      <c r="B27" s="1523">
        <v>23</v>
      </c>
      <c r="C27" s="1358" t="s">
        <v>506</v>
      </c>
      <c r="D27" s="1359">
        <f t="shared" si="0"/>
        <v>3095.1600000000003</v>
      </c>
      <c r="E27" s="1524"/>
      <c r="F27" s="1337" t="s">
        <v>1899</v>
      </c>
      <c r="G27" s="1337">
        <f>VLOOKUP($F27,Data!$B$504:$AA$659,26,FALSE)</f>
        <v>3095.1600000000003</v>
      </c>
    </row>
    <row r="28" spans="2:9">
      <c r="B28" s="1523">
        <v>24</v>
      </c>
      <c r="C28" s="1358" t="s">
        <v>524</v>
      </c>
      <c r="D28" s="1359">
        <f t="shared" si="0"/>
        <v>1167.9100000000001</v>
      </c>
      <c r="E28" s="1524"/>
      <c r="F28" s="1337" t="s">
        <v>1865</v>
      </c>
      <c r="G28" s="1337">
        <f>VLOOKUP($F28,Data!$B$504:$AA$659,26,FALSE)</f>
        <v>1167.9100000000001</v>
      </c>
    </row>
    <row r="29" spans="2:9">
      <c r="B29" s="1523">
        <v>25</v>
      </c>
      <c r="C29" s="1358" t="s">
        <v>507</v>
      </c>
      <c r="D29" s="1359">
        <f t="shared" si="0"/>
        <v>221.3</v>
      </c>
      <c r="E29" s="1524"/>
      <c r="F29" s="12" t="s">
        <v>1866</v>
      </c>
      <c r="G29" s="1337">
        <f>VLOOKUP($F29,Data!$B$504:$AA$659,26,FALSE)</f>
        <v>221.3</v>
      </c>
    </row>
    <row r="30" spans="2:9">
      <c r="B30" s="1523">
        <v>26</v>
      </c>
      <c r="C30" s="1358" t="s">
        <v>1086</v>
      </c>
      <c r="D30" s="1359">
        <f t="shared" si="0"/>
        <v>6423.17</v>
      </c>
      <c r="E30" s="1524"/>
      <c r="F30" s="1337" t="s">
        <v>1868</v>
      </c>
      <c r="G30" s="1337">
        <f>VLOOKUP($F30,Data!$B$504:$AA$659,26,FALSE)</f>
        <v>6423.17</v>
      </c>
    </row>
    <row r="31" spans="2:9">
      <c r="B31" s="1523">
        <v>27</v>
      </c>
      <c r="C31" s="1358" t="s">
        <v>509</v>
      </c>
      <c r="D31" s="1359">
        <f t="shared" si="0"/>
        <v>326.64</v>
      </c>
      <c r="E31" s="1524"/>
      <c r="F31" s="12" t="s">
        <v>1869</v>
      </c>
      <c r="G31" s="1337">
        <f>VLOOKUP($F31,Data!$B$504:$AA$659,26,FALSE)</f>
        <v>326.64</v>
      </c>
    </row>
    <row r="32" spans="2:9">
      <c r="B32" s="1523">
        <v>28</v>
      </c>
      <c r="C32" s="1358" t="s">
        <v>1087</v>
      </c>
      <c r="D32" s="1359">
        <f t="shared" si="0"/>
        <v>40.5</v>
      </c>
      <c r="E32" s="1524"/>
      <c r="F32" s="1337" t="s">
        <v>1087</v>
      </c>
      <c r="G32" s="1337">
        <f>VLOOKUP($F32,Data!$B$504:$AA$659,26,FALSE)</f>
        <v>40.5</v>
      </c>
    </row>
    <row r="33" spans="2:7">
      <c r="B33" s="1523">
        <v>29</v>
      </c>
      <c r="C33" s="1358" t="s">
        <v>1088</v>
      </c>
      <c r="D33" s="1359">
        <f t="shared" si="0"/>
        <v>0.09</v>
      </c>
      <c r="E33" s="1524"/>
      <c r="F33" s="1337" t="s">
        <v>1088</v>
      </c>
      <c r="G33" s="1337">
        <f>VLOOKUP($F33,Data!$B$504:$AA$659,26,FALSE)</f>
        <v>0.09</v>
      </c>
    </row>
    <row r="34" spans="2:7">
      <c r="B34" s="1523">
        <v>30</v>
      </c>
      <c r="C34" s="1358" t="s">
        <v>9</v>
      </c>
      <c r="D34" s="1359">
        <f t="shared" si="0"/>
        <v>0</v>
      </c>
      <c r="E34" s="1524"/>
      <c r="F34" s="1337" t="s">
        <v>9</v>
      </c>
      <c r="G34" s="1337">
        <f>VLOOKUP($F34,Data!$B$504:$AA$659,26,FALSE)</f>
        <v>0</v>
      </c>
    </row>
    <row r="35" spans="2:7">
      <c r="B35" s="1523">
        <v>31</v>
      </c>
      <c r="C35" s="1358" t="s">
        <v>499</v>
      </c>
      <c r="D35" s="1359">
        <f t="shared" si="0"/>
        <v>88.93</v>
      </c>
      <c r="E35" s="1524"/>
      <c r="F35" s="1337" t="s">
        <v>1871</v>
      </c>
      <c r="G35" s="1337">
        <f>VLOOKUP($F35,Data!$B$504:$AA$659,26,FALSE)</f>
        <v>88.93</v>
      </c>
    </row>
    <row r="36" spans="2:7">
      <c r="B36" s="1523">
        <v>32</v>
      </c>
      <c r="C36" s="1358" t="s">
        <v>490</v>
      </c>
      <c r="D36" s="1359">
        <f t="shared" si="0"/>
        <v>110.71</v>
      </c>
      <c r="E36" s="1524"/>
      <c r="F36" s="1337" t="s">
        <v>1852</v>
      </c>
      <c r="G36" s="1337">
        <f>VLOOKUP($F36,Data!$B$608:$AA$608,26,FALSE)</f>
        <v>110.71</v>
      </c>
    </row>
    <row r="37" spans="2:7">
      <c r="B37" s="1523">
        <v>33</v>
      </c>
      <c r="C37" s="1358" t="s">
        <v>484</v>
      </c>
      <c r="D37" s="1359">
        <f t="shared" si="0"/>
        <v>544.96</v>
      </c>
      <c r="E37" s="1524"/>
      <c r="F37" s="1337" t="s">
        <v>1872</v>
      </c>
      <c r="G37" s="1337">
        <f>VLOOKUP($F37,Data!$B$504:$AA$659,26,FALSE)</f>
        <v>544.96</v>
      </c>
    </row>
    <row r="38" spans="2:7">
      <c r="B38" s="1523">
        <v>34</v>
      </c>
      <c r="C38" s="1358" t="s">
        <v>511</v>
      </c>
      <c r="D38" s="1359">
        <f t="shared" si="0"/>
        <v>5387.82</v>
      </c>
      <c r="E38" s="1524"/>
      <c r="F38" s="1337" t="s">
        <v>1873</v>
      </c>
      <c r="G38" s="1337">
        <f>VLOOKUP($F38,Data!$B$504:$AA$659,26,FALSE)</f>
        <v>5387.82</v>
      </c>
    </row>
    <row r="39" spans="2:7">
      <c r="B39" s="1531">
        <v>35</v>
      </c>
      <c r="C39" s="1358" t="s">
        <v>1197</v>
      </c>
      <c r="D39" s="1359">
        <f t="shared" si="0"/>
        <v>0</v>
      </c>
      <c r="E39" s="1524"/>
      <c r="F39" s="12" t="s">
        <v>472</v>
      </c>
      <c r="G39" s="1337">
        <f>VLOOKUP($F39,Data!$B$504:$AA$659,26,FALSE)</f>
        <v>0</v>
      </c>
    </row>
    <row r="40" spans="2:7">
      <c r="B40" s="1531">
        <v>36</v>
      </c>
      <c r="C40" s="1362" t="s">
        <v>1874</v>
      </c>
      <c r="D40" s="1359">
        <f t="shared" si="0"/>
        <v>19.8</v>
      </c>
      <c r="E40" s="1524"/>
      <c r="F40" s="1357" t="s">
        <v>1874</v>
      </c>
      <c r="G40" s="1337">
        <f>VLOOKUP($F40,Data!$B$504:$AA$659,26,FALSE)</f>
        <v>19.8</v>
      </c>
    </row>
    <row r="41" spans="2:7">
      <c r="B41" s="1523">
        <v>37</v>
      </c>
      <c r="C41" s="1361" t="s">
        <v>1188</v>
      </c>
      <c r="D41" s="1359">
        <f t="shared" si="0"/>
        <v>5.39</v>
      </c>
      <c r="E41" s="1524"/>
      <c r="F41" s="1337" t="s">
        <v>1188</v>
      </c>
      <c r="G41" s="1337">
        <f>VLOOKUP($F41,Data!$B$504:$AA$659,26,FALSE)</f>
        <v>5.39</v>
      </c>
    </row>
    <row r="42" spans="2:7">
      <c r="B42" s="1523">
        <v>38</v>
      </c>
      <c r="C42" s="1358" t="s">
        <v>1189</v>
      </c>
      <c r="D42" s="1359">
        <f t="shared" si="0"/>
        <v>0</v>
      </c>
      <c r="E42" s="1524"/>
      <c r="F42" s="1337" t="s">
        <v>1189</v>
      </c>
      <c r="G42" s="1337">
        <f>VLOOKUP($F42,Data!$B$504:$AA$659,26,FALSE)</f>
        <v>0</v>
      </c>
    </row>
    <row r="43" spans="2:7">
      <c r="B43" s="1523">
        <v>39</v>
      </c>
      <c r="C43" s="1363" t="s">
        <v>647</v>
      </c>
      <c r="D43" s="1359">
        <f t="shared" si="0"/>
        <v>0</v>
      </c>
      <c r="E43" s="1524"/>
      <c r="F43" s="1337" t="s">
        <v>1840</v>
      </c>
      <c r="G43" s="1337">
        <f>VLOOKUP($F43,Data!$B$618:$AA$618,26,FALSE)</f>
        <v>0</v>
      </c>
    </row>
    <row r="44" spans="2:7">
      <c r="B44" s="1523">
        <v>40</v>
      </c>
      <c r="C44" s="1358" t="s">
        <v>526</v>
      </c>
      <c r="D44" s="1359">
        <f t="shared" si="0"/>
        <v>0</v>
      </c>
      <c r="E44" s="1524"/>
      <c r="F44" s="1337" t="s">
        <v>1877</v>
      </c>
      <c r="G44" s="1337">
        <f>VLOOKUP($F44,Data!$B$504:$AA$659,26,FALSE)</f>
        <v>0</v>
      </c>
    </row>
    <row r="45" spans="2:7">
      <c r="B45" s="1523">
        <v>41</v>
      </c>
      <c r="C45" s="1358" t="s">
        <v>512</v>
      </c>
      <c r="D45" s="1359">
        <f t="shared" si="0"/>
        <v>192.24999999999997</v>
      </c>
      <c r="E45" s="1526"/>
      <c r="F45" s="1337" t="s">
        <v>1878</v>
      </c>
      <c r="G45" s="1337">
        <f>VLOOKUP($F45,Data!$B$504:$AA$659,26,FALSE)</f>
        <v>192.24999999999997</v>
      </c>
    </row>
    <row r="46" spans="2:7">
      <c r="B46" s="1523">
        <v>42</v>
      </c>
      <c r="C46" s="1358" t="s">
        <v>515</v>
      </c>
      <c r="D46" s="1359">
        <f t="shared" si="0"/>
        <v>76.809999999999988</v>
      </c>
      <c r="E46" s="1526"/>
      <c r="F46" s="1337" t="s">
        <v>1852</v>
      </c>
      <c r="G46" s="1337">
        <f>VLOOKUP($F46,Data!$B$626:$AA$626,26,FALSE)</f>
        <v>76.809999999999988</v>
      </c>
    </row>
    <row r="47" spans="2:7">
      <c r="B47" s="1523">
        <v>43</v>
      </c>
      <c r="C47" s="1358" t="s">
        <v>514</v>
      </c>
      <c r="D47" s="1359">
        <f t="shared" si="0"/>
        <v>817.71</v>
      </c>
      <c r="E47" s="1526"/>
      <c r="F47" s="1337" t="s">
        <v>1880</v>
      </c>
      <c r="G47" s="1337">
        <f>VLOOKUP($F47,Data!$B$504:$AA$659,26,FALSE)</f>
        <v>817.71</v>
      </c>
    </row>
    <row r="48" spans="2:7">
      <c r="B48" s="1523">
        <v>44</v>
      </c>
      <c r="C48" s="1358" t="s">
        <v>517</v>
      </c>
      <c r="D48" s="1359">
        <f t="shared" si="0"/>
        <v>23.8</v>
      </c>
      <c r="E48" s="1526"/>
      <c r="F48" s="1337" t="s">
        <v>1852</v>
      </c>
      <c r="G48" s="1337">
        <f>VLOOKUP($F48,Data!$B$630:$AA$630,26,FALSE)</f>
        <v>23.8</v>
      </c>
    </row>
    <row r="49" spans="2:7">
      <c r="B49" s="1523">
        <v>45</v>
      </c>
      <c r="C49" s="1358" t="s">
        <v>516</v>
      </c>
      <c r="D49" s="1359">
        <f t="shared" si="0"/>
        <v>0</v>
      </c>
      <c r="E49" s="1526"/>
      <c r="F49" s="1337" t="s">
        <v>1877</v>
      </c>
      <c r="G49" s="1337">
        <f>VLOOKUP($F49,Data!$B$632:$AA$632,26,FALSE)</f>
        <v>0</v>
      </c>
    </row>
    <row r="50" spans="2:7">
      <c r="B50" s="1523">
        <v>46</v>
      </c>
      <c r="C50" s="1358" t="s">
        <v>493</v>
      </c>
      <c r="D50" s="1359">
        <f t="shared" si="0"/>
        <v>155.13999999999999</v>
      </c>
      <c r="E50" s="1526"/>
      <c r="F50" s="1337" t="s">
        <v>1882</v>
      </c>
      <c r="G50" s="1337">
        <f>VLOOKUP($F50,Data!$B$504:$AA$659,26,FALSE)</f>
        <v>155.13999999999999</v>
      </c>
    </row>
    <row r="51" spans="2:7">
      <c r="B51" s="1527">
        <v>47</v>
      </c>
      <c r="C51" s="1358" t="s">
        <v>1089</v>
      </c>
      <c r="D51" s="1359">
        <f t="shared" si="0"/>
        <v>6.4700000000000006</v>
      </c>
      <c r="E51" s="1528"/>
      <c r="F51" s="1337" t="s">
        <v>1884</v>
      </c>
      <c r="G51" s="1337">
        <f>VLOOKUP($F51,Data!$B$504:$AA$659,26,FALSE)</f>
        <v>6.4700000000000006</v>
      </c>
    </row>
    <row r="52" spans="2:7">
      <c r="B52" s="1527"/>
      <c r="C52" s="1365" t="s">
        <v>403</v>
      </c>
      <c r="D52" s="1364">
        <f>G52</f>
        <v>31285.708099999996</v>
      </c>
      <c r="E52" s="1529"/>
      <c r="F52" s="1337" t="s">
        <v>1886</v>
      </c>
      <c r="G52" s="1337">
        <f>VLOOKUP($F52,Data!$B$504:$AA$659,26,FALSE)</f>
        <v>31285.708099999996</v>
      </c>
    </row>
    <row r="53" spans="2:7" ht="13.5" thickBot="1">
      <c r="B53" s="17"/>
      <c r="C53" s="18"/>
      <c r="D53" s="18"/>
      <c r="E53" s="101">
        <v>46</v>
      </c>
      <c r="F53" s="1355" t="s">
        <v>1900</v>
      </c>
      <c r="G53" s="1356">
        <f>SUM(G5:G51)</f>
        <v>31285.788099999998</v>
      </c>
    </row>
  </sheetData>
  <mergeCells count="1">
    <mergeCell ref="B2:E2"/>
  </mergeCells>
  <printOptions horizontalCentered="1" verticalCentered="1"/>
  <pageMargins left="0.75" right="0.75" top="1" bottom="1" header="0.5" footer="0.5"/>
  <pageSetup scale="75"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002060"/>
  </sheetPr>
  <dimension ref="A1:BS641"/>
  <sheetViews>
    <sheetView topLeftCell="A412" zoomScale="89" zoomScaleNormal="89" workbookViewId="0">
      <selection activeCell="N433" sqref="N433"/>
    </sheetView>
  </sheetViews>
  <sheetFormatPr defaultColWidth="9.140625" defaultRowHeight="12.75"/>
  <cols>
    <col min="1" max="1" width="9.140625" style="1116"/>
    <col min="2" max="2" width="13.42578125" style="1116" customWidth="1"/>
    <col min="3" max="6" width="9.140625" style="1116"/>
    <col min="7" max="7" width="13.42578125" style="1116" bestFit="1" customWidth="1"/>
    <col min="8" max="8" width="14.7109375" style="1116" bestFit="1" customWidth="1"/>
    <col min="9" max="10" width="9.140625" style="1116"/>
    <col min="11" max="11" width="14" style="1116" customWidth="1"/>
    <col min="12" max="55" width="9.140625" style="1116"/>
    <col min="56" max="56" width="13.5703125" style="1116" customWidth="1"/>
    <col min="57" max="16384" width="9.140625" style="1116"/>
  </cols>
  <sheetData>
    <row r="1" spans="1:57">
      <c r="A1" s="1112" t="s">
        <v>1228</v>
      </c>
    </row>
    <row r="2" spans="1:57">
      <c r="A2" s="1112" t="s">
        <v>1353</v>
      </c>
      <c r="B2" s="7"/>
    </row>
    <row r="3" spans="1:57">
      <c r="D3" s="1116" t="s">
        <v>1543</v>
      </c>
      <c r="Q3" s="1116" t="s">
        <v>1544</v>
      </c>
      <c r="BC3" s="1112" t="s">
        <v>1376</v>
      </c>
      <c r="BD3" s="343"/>
      <c r="BE3" s="343"/>
    </row>
    <row r="4" spans="1:57">
      <c r="Q4" s="1116" t="s">
        <v>1545</v>
      </c>
      <c r="R4" s="1116" t="s">
        <v>1903</v>
      </c>
      <c r="BC4" s="67" t="s">
        <v>483</v>
      </c>
      <c r="BD4" s="1003" t="s">
        <v>444</v>
      </c>
    </row>
    <row r="5" spans="1:57">
      <c r="Q5" s="1116" t="s">
        <v>1546</v>
      </c>
      <c r="R5" s="1116">
        <v>44382.648850995371</v>
      </c>
      <c r="BC5" s="67"/>
      <c r="BD5" s="64">
        <f>LY</f>
        <v>43983</v>
      </c>
    </row>
    <row r="6" spans="1:57">
      <c r="A6" s="1116" t="s">
        <v>1229</v>
      </c>
      <c r="F6" s="1116" t="s">
        <v>1547</v>
      </c>
      <c r="BC6" s="20" t="s">
        <v>405</v>
      </c>
      <c r="BD6" s="1176">
        <v>1320</v>
      </c>
    </row>
    <row r="7" spans="1:57">
      <c r="A7" s="1116" t="s">
        <v>1230</v>
      </c>
      <c r="B7" s="1116" t="s">
        <v>1548</v>
      </c>
      <c r="C7" s="1116" t="s">
        <v>1549</v>
      </c>
      <c r="D7" s="1116" t="s">
        <v>1006</v>
      </c>
      <c r="N7" s="1116" t="s">
        <v>1007</v>
      </c>
      <c r="BC7" s="20" t="s">
        <v>407</v>
      </c>
      <c r="BD7" s="929">
        <v>300</v>
      </c>
    </row>
    <row r="8" spans="1:57">
      <c r="D8" s="1116" t="s">
        <v>1903</v>
      </c>
      <c r="I8" s="1116" t="s">
        <v>1904</v>
      </c>
      <c r="N8" s="1116" t="s">
        <v>1903</v>
      </c>
      <c r="Q8" s="1116" t="s">
        <v>1904</v>
      </c>
      <c r="BC8" s="20" t="s">
        <v>411</v>
      </c>
      <c r="BD8" s="929">
        <v>0</v>
      </c>
    </row>
    <row r="9" spans="1:57">
      <c r="D9" s="1116" t="s">
        <v>1008</v>
      </c>
      <c r="E9" s="1116" t="s">
        <v>1009</v>
      </c>
      <c r="F9" s="1116" t="s">
        <v>1550</v>
      </c>
      <c r="G9" s="1116" t="s">
        <v>1551</v>
      </c>
      <c r="H9" s="1116" t="s">
        <v>1552</v>
      </c>
      <c r="I9" s="1116" t="s">
        <v>1008</v>
      </c>
      <c r="J9" s="1116" t="s">
        <v>1009</v>
      </c>
      <c r="K9" s="1116" t="s">
        <v>1553</v>
      </c>
      <c r="L9" s="1116" t="s">
        <v>1554</v>
      </c>
      <c r="M9" s="1116" t="s">
        <v>1555</v>
      </c>
      <c r="N9" s="1116" t="s">
        <v>1008</v>
      </c>
      <c r="O9" s="1116" t="s">
        <v>1009</v>
      </c>
      <c r="P9" s="1116" t="s">
        <v>1550</v>
      </c>
      <c r="Q9" s="1116" t="s">
        <v>1008</v>
      </c>
      <c r="R9" s="1116" t="s">
        <v>1009</v>
      </c>
      <c r="S9" s="1116" t="s">
        <v>1553</v>
      </c>
      <c r="BC9" s="20" t="s">
        <v>433</v>
      </c>
      <c r="BD9" s="1003">
        <f>(BD6+BD7+BD8)</f>
        <v>1620</v>
      </c>
    </row>
    <row r="10" spans="1:57">
      <c r="C10" s="1116" t="s">
        <v>1556</v>
      </c>
    </row>
    <row r="11" spans="1:57">
      <c r="F11" s="1116" t="s">
        <v>1557</v>
      </c>
      <c r="K11" s="1116" t="s">
        <v>1557</v>
      </c>
      <c r="P11" s="1116" t="s">
        <v>1557</v>
      </c>
      <c r="S11" s="1116" t="s">
        <v>1557</v>
      </c>
    </row>
    <row r="12" spans="1:57">
      <c r="B12" s="1116" t="s">
        <v>1558</v>
      </c>
      <c r="C12" s="1116" t="s">
        <v>1559</v>
      </c>
      <c r="D12" s="1116" t="s">
        <v>1560</v>
      </c>
      <c r="E12" s="1116" t="s">
        <v>1561</v>
      </c>
      <c r="F12" s="1116" t="s">
        <v>1562</v>
      </c>
      <c r="G12" s="1116" t="s">
        <v>1563</v>
      </c>
      <c r="H12" s="1116" t="s">
        <v>1564</v>
      </c>
      <c r="I12" s="1116" t="s">
        <v>1565</v>
      </c>
      <c r="J12" s="1116" t="s">
        <v>1566</v>
      </c>
      <c r="K12" s="1116" t="s">
        <v>1567</v>
      </c>
      <c r="L12" s="1116" t="s">
        <v>80</v>
      </c>
      <c r="M12" s="1116" t="s">
        <v>1568</v>
      </c>
      <c r="N12" s="1116" t="s">
        <v>1569</v>
      </c>
      <c r="O12" s="1116" t="s">
        <v>1570</v>
      </c>
      <c r="P12" s="1116" t="s">
        <v>1571</v>
      </c>
      <c r="Q12" s="1116" t="s">
        <v>1572</v>
      </c>
      <c r="R12" s="1116" t="s">
        <v>1573</v>
      </c>
      <c r="S12" s="1116" t="s">
        <v>1574</v>
      </c>
    </row>
    <row r="13" spans="1:57">
      <c r="A13" s="1116" t="s">
        <v>5</v>
      </c>
      <c r="B13" s="1116">
        <v>233991.71799999985</v>
      </c>
      <c r="C13" s="1116">
        <v>1155200</v>
      </c>
      <c r="D13" s="1116">
        <v>92728</v>
      </c>
      <c r="E13" s="1116">
        <v>85478.13</v>
      </c>
      <c r="F13" s="1116">
        <v>78147.17</v>
      </c>
      <c r="G13" s="1116">
        <v>92.181574066085716</v>
      </c>
      <c r="H13" s="1116">
        <v>109.38096670679175</v>
      </c>
      <c r="I13" s="1116">
        <v>285119</v>
      </c>
      <c r="J13" s="1116">
        <v>276682.11</v>
      </c>
      <c r="K13" s="1116">
        <v>222846.64</v>
      </c>
      <c r="L13" s="1116">
        <v>97.040922562158244</v>
      </c>
      <c r="M13" s="1116">
        <v>124.15807929614726</v>
      </c>
      <c r="N13" s="1116">
        <v>57.151108893453141</v>
      </c>
      <c r="O13" s="1116">
        <v>55.051628755332437</v>
      </c>
      <c r="P13" s="1116">
        <v>49.881817919087098</v>
      </c>
      <c r="Q13" s="1116">
        <v>58.398176843246176</v>
      </c>
      <c r="R13" s="1116">
        <v>58.639295638075538</v>
      </c>
      <c r="S13" s="1116">
        <v>46.697313590126114</v>
      </c>
    </row>
    <row r="14" spans="1:57">
      <c r="A14" s="1116" t="s">
        <v>754</v>
      </c>
      <c r="B14" s="1116">
        <v>6780</v>
      </c>
      <c r="C14" s="1116">
        <v>43020</v>
      </c>
      <c r="D14" s="1116">
        <v>3623</v>
      </c>
      <c r="E14" s="1116">
        <v>3793.48</v>
      </c>
      <c r="F14" s="1116">
        <v>3764.73</v>
      </c>
      <c r="G14" s="1116">
        <v>104.70549268561966</v>
      </c>
      <c r="H14" s="1116">
        <v>100.76361345243168</v>
      </c>
      <c r="I14" s="1116">
        <v>11186</v>
      </c>
      <c r="J14" s="1116">
        <v>11157.37</v>
      </c>
      <c r="K14" s="1116">
        <v>11422.35</v>
      </c>
      <c r="L14" s="1116">
        <v>99.744019309851623</v>
      </c>
      <c r="M14" s="1116">
        <v>97.680127119200549</v>
      </c>
      <c r="N14" s="1116">
        <v>68.1835290575128</v>
      </c>
      <c r="O14" s="1116">
        <v>77.709767289413307</v>
      </c>
      <c r="P14" s="1116">
        <v>77.120821042281236</v>
      </c>
      <c r="Q14" s="1116">
        <v>69.401014522965738</v>
      </c>
      <c r="R14" s="1116">
        <v>75.34932250640216</v>
      </c>
      <c r="S14" s="1116">
        <v>77.138805147654693</v>
      </c>
    </row>
    <row r="15" spans="1:57">
      <c r="A15" s="1116" t="s">
        <v>753</v>
      </c>
      <c r="B15" s="1116">
        <v>46209.219999999994</v>
      </c>
      <c r="C15" s="1116">
        <v>149544</v>
      </c>
      <c r="D15" s="1116">
        <v>15341</v>
      </c>
      <c r="E15" s="1116">
        <v>16000.21</v>
      </c>
      <c r="F15" s="1116">
        <v>17015.82</v>
      </c>
      <c r="G15" s="1116">
        <v>104.29704712860959</v>
      </c>
      <c r="H15" s="1116">
        <v>94.031383385072388</v>
      </c>
      <c r="I15" s="1116">
        <v>39009</v>
      </c>
      <c r="J15" s="1116">
        <v>36017.83</v>
      </c>
      <c r="K15" s="1116">
        <v>41163.370000000003</v>
      </c>
      <c r="L15" s="1116">
        <v>92.332097721038735</v>
      </c>
      <c r="M15" s="1116">
        <v>87.499706656670739</v>
      </c>
    </row>
    <row r="16" spans="1:57">
      <c r="A16" s="1116" t="s">
        <v>1231</v>
      </c>
      <c r="B16" s="1116">
        <v>0</v>
      </c>
      <c r="C16" s="1116">
        <v>8236</v>
      </c>
      <c r="D16" s="1116">
        <v>1144</v>
      </c>
      <c r="E16" s="1116">
        <v>1145.74</v>
      </c>
      <c r="F16" s="1116">
        <v>1214.5</v>
      </c>
      <c r="G16" s="1116">
        <v>100.15209790209789</v>
      </c>
      <c r="H16" s="1116">
        <v>94.338410868670223</v>
      </c>
      <c r="I16" s="1116">
        <v>2770</v>
      </c>
      <c r="J16" s="1116">
        <v>1866.04</v>
      </c>
      <c r="K16" s="1116">
        <v>2256.5</v>
      </c>
      <c r="L16" s="1116">
        <v>67.366064981949464</v>
      </c>
      <c r="M16" s="1116">
        <v>82.696210946155546</v>
      </c>
    </row>
    <row r="17" spans="1:20">
      <c r="A17" s="1116" t="s">
        <v>1232</v>
      </c>
      <c r="B17" s="1116">
        <v>286980.93799999985</v>
      </c>
      <c r="C17" s="1116">
        <v>1356000</v>
      </c>
      <c r="D17" s="1116">
        <v>112836</v>
      </c>
      <c r="E17" s="1116">
        <v>106417.56000000001</v>
      </c>
      <c r="F17" s="1116">
        <v>100142.22</v>
      </c>
      <c r="G17" s="1116">
        <v>94.311709029033295</v>
      </c>
      <c r="H17" s="1116">
        <v>106.26642788626017</v>
      </c>
      <c r="I17" s="1116">
        <v>338084</v>
      </c>
      <c r="J17" s="1116">
        <v>325723.34999999998</v>
      </c>
      <c r="K17" s="1116">
        <v>277688.86000000004</v>
      </c>
      <c r="L17" s="1116">
        <v>96.343911572271963</v>
      </c>
      <c r="M17" s="1116">
        <v>117.29795354412127</v>
      </c>
    </row>
    <row r="18" spans="1:20">
      <c r="A18" s="1116" t="s">
        <v>1233</v>
      </c>
    </row>
    <row r="21" spans="1:20">
      <c r="C21" s="1116" t="s">
        <v>1575</v>
      </c>
      <c r="Q21" s="1116" t="s">
        <v>1576</v>
      </c>
    </row>
    <row r="23" spans="1:20">
      <c r="C23" s="1116" t="s">
        <v>1577</v>
      </c>
    </row>
    <row r="24" spans="1:20">
      <c r="C24" s="1116" t="s">
        <v>1905</v>
      </c>
    </row>
    <row r="25" spans="1:20">
      <c r="A25" s="1116" t="s">
        <v>1234</v>
      </c>
    </row>
    <row r="26" spans="1:20">
      <c r="A26" s="1116" t="s">
        <v>1235</v>
      </c>
      <c r="B26" s="1116" t="s">
        <v>1005</v>
      </c>
      <c r="C26" s="1116" t="s">
        <v>1549</v>
      </c>
      <c r="D26" s="1116" t="s">
        <v>1006</v>
      </c>
      <c r="N26" s="1116" t="s">
        <v>1007</v>
      </c>
    </row>
    <row r="27" spans="1:20">
      <c r="D27" s="1116" t="s">
        <v>1906</v>
      </c>
      <c r="I27" s="1116" t="s">
        <v>1907</v>
      </c>
      <c r="N27" s="1116" t="s">
        <v>1906</v>
      </c>
      <c r="R27" s="1116" t="s">
        <v>1907</v>
      </c>
    </row>
    <row r="29" spans="1:20">
      <c r="D29" s="1116" t="s">
        <v>1008</v>
      </c>
      <c r="E29" s="1116" t="s">
        <v>1009</v>
      </c>
      <c r="F29" s="1116" t="s">
        <v>1578</v>
      </c>
      <c r="G29" s="1116" t="s">
        <v>1579</v>
      </c>
      <c r="H29" s="1116" t="s">
        <v>1580</v>
      </c>
      <c r="I29" s="1116" t="s">
        <v>1008</v>
      </c>
      <c r="J29" s="1116" t="s">
        <v>1009</v>
      </c>
      <c r="K29" s="1116" t="s">
        <v>1581</v>
      </c>
      <c r="L29" s="1116" t="s">
        <v>1582</v>
      </c>
      <c r="M29" s="1116" t="s">
        <v>1583</v>
      </c>
      <c r="N29" s="1116" t="s">
        <v>1008</v>
      </c>
      <c r="O29" s="1116" t="s">
        <v>1009</v>
      </c>
      <c r="P29" s="1116" t="s">
        <v>1578</v>
      </c>
      <c r="R29" s="1116" t="s">
        <v>1008</v>
      </c>
      <c r="S29" s="1116" t="s">
        <v>1009</v>
      </c>
      <c r="T29" s="1116" t="s">
        <v>1581</v>
      </c>
    </row>
    <row r="30" spans="1:20">
      <c r="C30" s="1116" t="s">
        <v>1556</v>
      </c>
    </row>
    <row r="31" spans="1:20">
      <c r="F31" s="1116" t="s">
        <v>1557</v>
      </c>
      <c r="K31" s="1116" t="s">
        <v>1557</v>
      </c>
      <c r="T31" s="1116" t="s">
        <v>1557</v>
      </c>
    </row>
    <row r="32" spans="1:20">
      <c r="P32" s="1116" t="s">
        <v>1557</v>
      </c>
    </row>
    <row r="33" spans="1:21">
      <c r="B33" s="1116" t="s">
        <v>1558</v>
      </c>
      <c r="C33" s="1116" t="s">
        <v>1559</v>
      </c>
      <c r="D33" s="1116" t="s">
        <v>1560</v>
      </c>
      <c r="E33" s="1116" t="s">
        <v>1561</v>
      </c>
      <c r="F33" s="1116" t="s">
        <v>1562</v>
      </c>
      <c r="G33" s="1116" t="s">
        <v>1563</v>
      </c>
      <c r="H33" s="1116" t="s">
        <v>1564</v>
      </c>
      <c r="I33" s="1116" t="s">
        <v>1565</v>
      </c>
      <c r="J33" s="1116" t="s">
        <v>1566</v>
      </c>
      <c r="K33" s="1116" t="s">
        <v>1567</v>
      </c>
      <c r="L33" s="1116" t="s">
        <v>80</v>
      </c>
      <c r="M33" s="1116" t="s">
        <v>1568</v>
      </c>
      <c r="N33" s="1116" t="s">
        <v>1569</v>
      </c>
      <c r="O33" s="1116" t="s">
        <v>1570</v>
      </c>
      <c r="P33" s="1116" t="s">
        <v>1571</v>
      </c>
      <c r="R33" s="1116" t="s">
        <v>1572</v>
      </c>
      <c r="S33" s="1116" t="s">
        <v>1573</v>
      </c>
      <c r="T33" s="1116" t="s">
        <v>1574</v>
      </c>
    </row>
    <row r="34" spans="1:21">
      <c r="A34" s="1116" t="s">
        <v>1236</v>
      </c>
    </row>
    <row r="35" spans="1:21">
      <c r="A35" s="1116" t="s">
        <v>5</v>
      </c>
      <c r="B35" s="1116">
        <v>50340.26</v>
      </c>
      <c r="C35" s="1116">
        <v>251820</v>
      </c>
      <c r="D35" s="1116">
        <v>21415</v>
      </c>
      <c r="E35" s="1116">
        <v>18728.009999999998</v>
      </c>
      <c r="F35" s="1116">
        <v>17361.32</v>
      </c>
      <c r="G35" s="1116">
        <v>87.45276675227646</v>
      </c>
      <c r="H35" s="1116">
        <v>107.87203968361854</v>
      </c>
      <c r="I35" s="1116">
        <v>61070</v>
      </c>
      <c r="J35" s="1116">
        <v>55252.55</v>
      </c>
      <c r="K35" s="1116">
        <v>42177.48</v>
      </c>
      <c r="L35" s="1116">
        <v>90.474134599639783</v>
      </c>
      <c r="M35" s="1116">
        <v>131.0001308755289</v>
      </c>
      <c r="N35" s="1116">
        <v>61.820222759868351</v>
      </c>
      <c r="O35" s="1116">
        <v>56.491310570960906</v>
      </c>
      <c r="P35" s="1116">
        <v>52.697175968330768</v>
      </c>
      <c r="R35" s="1116">
        <v>58.936820862117742</v>
      </c>
      <c r="S35" s="1116">
        <v>54.492266639286711</v>
      </c>
      <c r="U35" s="1116">
        <v>42.239615876267735</v>
      </c>
    </row>
    <row r="36" spans="1:21">
      <c r="A36" s="1116" t="s">
        <v>754</v>
      </c>
      <c r="B36" s="1116">
        <v>1620</v>
      </c>
      <c r="C36" s="1116">
        <v>9545</v>
      </c>
      <c r="D36" s="1116">
        <v>898</v>
      </c>
      <c r="E36" s="1116">
        <v>972.3</v>
      </c>
      <c r="F36" s="1116">
        <v>1022.7</v>
      </c>
      <c r="G36" s="1116">
        <v>108.27394209354119</v>
      </c>
      <c r="H36" s="1116">
        <v>95.071682660247063</v>
      </c>
      <c r="I36" s="1116">
        <v>2624</v>
      </c>
      <c r="J36" s="1116">
        <v>3027.79</v>
      </c>
      <c r="K36" s="1116">
        <v>3028.7</v>
      </c>
      <c r="L36" s="1116">
        <v>115.38841463414633</v>
      </c>
      <c r="M36" s="1116">
        <v>99.970020140654398</v>
      </c>
      <c r="N36" s="1116">
        <v>82.054093567251456</v>
      </c>
      <c r="O36" s="1116">
        <v>83.359053497942398</v>
      </c>
      <c r="P36" s="1116">
        <v>87.680041152263371</v>
      </c>
      <c r="R36" s="1116">
        <v>79.043763254289573</v>
      </c>
      <c r="S36" s="1116">
        <v>85.577262243928914</v>
      </c>
      <c r="U36" s="1116">
        <v>85.602982408537969</v>
      </c>
    </row>
    <row r="37" spans="1:21">
      <c r="A37" s="1116" t="s">
        <v>753</v>
      </c>
      <c r="B37" s="1116">
        <v>19233.27</v>
      </c>
      <c r="C37" s="1116">
        <v>75684</v>
      </c>
      <c r="D37" s="1116">
        <v>9623</v>
      </c>
      <c r="E37" s="1116">
        <v>9223.48</v>
      </c>
      <c r="F37" s="1116">
        <v>10190.219999999999</v>
      </c>
      <c r="G37" s="1116">
        <v>95.848280162111564</v>
      </c>
      <c r="H37" s="1116">
        <v>90.513060561989761</v>
      </c>
      <c r="I37" s="1116">
        <v>22637</v>
      </c>
      <c r="J37" s="1116">
        <v>18731.95</v>
      </c>
      <c r="K37" s="1116">
        <v>23366.06</v>
      </c>
      <c r="L37" s="1116">
        <v>82.749260060962129</v>
      </c>
      <c r="M37" s="1116">
        <v>80.167345286282782</v>
      </c>
      <c r="N37" s="1116" t="s">
        <v>1584</v>
      </c>
      <c r="O37" s="1116" t="s">
        <v>1584</v>
      </c>
      <c r="P37" s="1116" t="s">
        <v>1584</v>
      </c>
      <c r="R37" s="1116" t="s">
        <v>1584</v>
      </c>
      <c r="S37" s="1116" t="s">
        <v>1584</v>
      </c>
      <c r="U37" s="1116" t="s">
        <v>1584</v>
      </c>
    </row>
    <row r="38" spans="1:21">
      <c r="A38" s="1116" t="s">
        <v>406</v>
      </c>
      <c r="B38" s="1116">
        <v>71193.53</v>
      </c>
      <c r="C38" s="1116">
        <v>337049</v>
      </c>
      <c r="D38" s="1116">
        <v>31936</v>
      </c>
      <c r="E38" s="1116">
        <v>28923.789999999997</v>
      </c>
      <c r="F38" s="1116">
        <v>28574.239999999998</v>
      </c>
      <c r="G38" s="1116">
        <v>90.567979709418836</v>
      </c>
      <c r="H38" s="1116">
        <v>101.22330462682471</v>
      </c>
      <c r="I38" s="1116">
        <v>86331</v>
      </c>
      <c r="J38" s="1116">
        <v>77012.290000000008</v>
      </c>
      <c r="K38" s="1116">
        <v>68572.240000000005</v>
      </c>
      <c r="L38" s="1116">
        <v>89.205835678956575</v>
      </c>
      <c r="M38" s="1116">
        <v>112.30826060224955</v>
      </c>
      <c r="N38" s="1116" t="s">
        <v>1584</v>
      </c>
      <c r="O38" s="1116" t="s">
        <v>1584</v>
      </c>
      <c r="P38" s="1116" t="s">
        <v>1584</v>
      </c>
      <c r="R38" s="1116" t="s">
        <v>1584</v>
      </c>
      <c r="S38" s="1116" t="s">
        <v>1584</v>
      </c>
      <c r="U38" s="1116" t="s">
        <v>1584</v>
      </c>
    </row>
    <row r="39" spans="1:21">
      <c r="A39" s="1116" t="s">
        <v>1237</v>
      </c>
    </row>
    <row r="40" spans="1:21">
      <c r="A40" s="1116" t="s">
        <v>5</v>
      </c>
      <c r="B40" s="1116">
        <v>97502.489999999991</v>
      </c>
      <c r="C40" s="1116">
        <v>476470</v>
      </c>
      <c r="D40" s="1116">
        <v>37887</v>
      </c>
      <c r="E40" s="1116">
        <v>34412.5</v>
      </c>
      <c r="F40" s="1116">
        <v>32970.32</v>
      </c>
      <c r="G40" s="1116">
        <v>90.829308205980936</v>
      </c>
      <c r="H40" s="1116">
        <v>104.3741765321052</v>
      </c>
      <c r="I40" s="1116">
        <v>118453</v>
      </c>
      <c r="J40" s="1116">
        <v>116988.27</v>
      </c>
      <c r="K40" s="1116">
        <v>97710.49</v>
      </c>
      <c r="L40" s="1116">
        <v>98.763449638253192</v>
      </c>
      <c r="M40" s="1116">
        <v>119.72948759135281</v>
      </c>
      <c r="N40" s="1116">
        <v>57.99285511868171</v>
      </c>
      <c r="O40" s="1116">
        <v>53.50659631121939</v>
      </c>
      <c r="P40" s="1116">
        <v>50.174428046326682</v>
      </c>
      <c r="R40" s="1116">
        <v>59.881915255771304</v>
      </c>
      <c r="S40" s="1116">
        <v>59.641647990393579</v>
      </c>
      <c r="U40" s="1116">
        <v>48.796697681803941</v>
      </c>
    </row>
    <row r="41" spans="1:21">
      <c r="A41" s="1116" t="s">
        <v>754</v>
      </c>
      <c r="B41" s="1116">
        <v>1840</v>
      </c>
      <c r="C41" s="1116">
        <v>13505</v>
      </c>
      <c r="D41" s="1116">
        <v>1185</v>
      </c>
      <c r="E41" s="1116">
        <v>1084.54</v>
      </c>
      <c r="F41" s="1116">
        <v>1204.6600000000001</v>
      </c>
      <c r="G41" s="1116">
        <v>91.522362869198304</v>
      </c>
      <c r="H41" s="1116">
        <v>90.028721797021561</v>
      </c>
      <c r="I41" s="1116">
        <v>3392</v>
      </c>
      <c r="J41" s="1116">
        <v>2864.48</v>
      </c>
      <c r="K41" s="1116">
        <v>3622.25</v>
      </c>
      <c r="L41" s="1116">
        <v>84.448142688679255</v>
      </c>
      <c r="M41" s="1116">
        <v>79.080157360756459</v>
      </c>
      <c r="N41" s="1116">
        <v>64.79658792650919</v>
      </c>
      <c r="O41" s="1116">
        <v>81.86443236714976</v>
      </c>
      <c r="P41" s="1116">
        <v>90.93146135265701</v>
      </c>
      <c r="R41" s="1116">
        <v>61.146202878486342</v>
      </c>
      <c r="S41" s="1116">
        <v>71.281279861442911</v>
      </c>
      <c r="U41" s="1116">
        <v>90.137810559006198</v>
      </c>
    </row>
    <row r="42" spans="1:21">
      <c r="A42" s="1116" t="s">
        <v>753</v>
      </c>
      <c r="B42" s="1116">
        <v>7392</v>
      </c>
      <c r="C42" s="1116">
        <v>16042</v>
      </c>
      <c r="D42" s="1116">
        <v>897</v>
      </c>
      <c r="E42" s="1116">
        <v>1416.34</v>
      </c>
      <c r="F42" s="1116">
        <v>1569.81</v>
      </c>
      <c r="G42" s="1116">
        <v>157.89743589743594</v>
      </c>
      <c r="H42" s="1116">
        <v>90.223427743668992</v>
      </c>
      <c r="I42" s="1116">
        <v>2980</v>
      </c>
      <c r="J42" s="1116">
        <v>4255.55</v>
      </c>
      <c r="K42" s="1116">
        <v>4149.84</v>
      </c>
      <c r="L42" s="1116">
        <v>142.80372483221481</v>
      </c>
      <c r="M42" s="1116">
        <v>102.54735122317973</v>
      </c>
      <c r="N42" s="1116" t="s">
        <v>1584</v>
      </c>
      <c r="O42" s="1116" t="s">
        <v>1584</v>
      </c>
      <c r="P42" s="1116" t="s">
        <v>1584</v>
      </c>
      <c r="R42" s="1116" t="s">
        <v>1584</v>
      </c>
      <c r="S42" s="1116" t="s">
        <v>1584</v>
      </c>
      <c r="U42" s="1116" t="s">
        <v>1584</v>
      </c>
    </row>
    <row r="43" spans="1:21">
      <c r="A43" s="1116" t="s">
        <v>406</v>
      </c>
      <c r="B43" s="1116">
        <v>106734.48999999999</v>
      </c>
      <c r="C43" s="1116">
        <v>506017</v>
      </c>
      <c r="D43" s="1116">
        <v>39969</v>
      </c>
      <c r="E43" s="1116">
        <v>36913.379999999997</v>
      </c>
      <c r="F43" s="1116">
        <v>35744.79</v>
      </c>
      <c r="G43" s="1116">
        <v>92.355025144486973</v>
      </c>
      <c r="H43" s="1116">
        <v>103.26925965993925</v>
      </c>
      <c r="I43" s="1116">
        <v>124825</v>
      </c>
      <c r="J43" s="1116">
        <v>124108.3</v>
      </c>
      <c r="K43" s="1116">
        <v>105482.58</v>
      </c>
      <c r="L43" s="1116">
        <v>99.425836170638888</v>
      </c>
      <c r="M43" s="1116">
        <v>117.65762650098243</v>
      </c>
      <c r="N43" s="1116" t="s">
        <v>1584</v>
      </c>
      <c r="O43" s="1116" t="s">
        <v>1584</v>
      </c>
      <c r="P43" s="1116" t="s">
        <v>1584</v>
      </c>
      <c r="R43" s="1116" t="s">
        <v>1584</v>
      </c>
      <c r="S43" s="1116" t="s">
        <v>1584</v>
      </c>
      <c r="U43" s="1116" t="s">
        <v>1584</v>
      </c>
    </row>
    <row r="44" spans="1:21">
      <c r="A44" s="1116" t="s">
        <v>1238</v>
      </c>
    </row>
    <row r="45" spans="1:21">
      <c r="A45" s="1116" t="s">
        <v>5</v>
      </c>
      <c r="B45" s="1116">
        <v>48717.964999999975</v>
      </c>
      <c r="C45" s="1116">
        <v>222615</v>
      </c>
      <c r="D45" s="1116">
        <v>17030</v>
      </c>
      <c r="E45" s="1116">
        <v>14129.65</v>
      </c>
      <c r="F45" s="1116">
        <v>12035</v>
      </c>
      <c r="G45" s="1116">
        <v>82.969172049324726</v>
      </c>
      <c r="H45" s="1116">
        <v>117.40465309513921</v>
      </c>
      <c r="I45" s="1116">
        <v>55129</v>
      </c>
      <c r="J45" s="1116">
        <v>48321.39</v>
      </c>
      <c r="K45" s="1116">
        <v>38335.22</v>
      </c>
      <c r="L45" s="1116">
        <v>87.651484699522925</v>
      </c>
      <c r="M45" s="1116">
        <v>126.04958834199988</v>
      </c>
      <c r="N45" s="1116">
        <v>51.270346977685868</v>
      </c>
      <c r="O45" s="1116">
        <v>44.861988011641081</v>
      </c>
      <c r="P45" s="1116">
        <v>38.316670453684758</v>
      </c>
      <c r="R45" s="1116">
        <v>55.491626781120928</v>
      </c>
      <c r="S45" s="1116">
        <v>51.021519373710419</v>
      </c>
      <c r="U45" s="1116">
        <v>40.400748989706031</v>
      </c>
    </row>
    <row r="46" spans="1:21">
      <c r="A46" s="1116" t="s">
        <v>754</v>
      </c>
      <c r="B46" s="1116">
        <v>3320</v>
      </c>
      <c r="C46" s="1116">
        <v>19970</v>
      </c>
      <c r="D46" s="1116">
        <v>1540</v>
      </c>
      <c r="E46" s="1116">
        <v>1736.64</v>
      </c>
      <c r="F46" s="1116">
        <v>1537.37</v>
      </c>
      <c r="G46" s="1116">
        <v>112.76883116883118</v>
      </c>
      <c r="H46" s="1116">
        <v>112.96174635904177</v>
      </c>
      <c r="I46" s="1116">
        <v>5170</v>
      </c>
      <c r="J46" s="1116">
        <v>5265.09</v>
      </c>
      <c r="K46" s="1116">
        <v>4771.3999999999996</v>
      </c>
      <c r="L46" s="1116">
        <v>101.83932301740812</v>
      </c>
      <c r="M46" s="1116">
        <v>110.34692123904935</v>
      </c>
      <c r="N46" s="1116">
        <v>64.424364123159307</v>
      </c>
      <c r="O46" s="1116">
        <v>72.65060240963858</v>
      </c>
      <c r="P46" s="1116">
        <v>64.314340696117796</v>
      </c>
      <c r="R46" s="1116">
        <v>71.301690277593892</v>
      </c>
      <c r="S46" s="1116">
        <v>72.613158678670715</v>
      </c>
      <c r="U46" s="1116">
        <v>65.804426497197582</v>
      </c>
    </row>
    <row r="47" spans="1:21">
      <c r="A47" s="1116" t="s">
        <v>753</v>
      </c>
      <c r="B47" s="1116">
        <v>11694.5</v>
      </c>
      <c r="C47" s="1116">
        <v>30439</v>
      </c>
      <c r="D47" s="1116">
        <v>1796</v>
      </c>
      <c r="E47" s="1116">
        <v>2318.0700000000002</v>
      </c>
      <c r="F47" s="1116">
        <v>2097.13</v>
      </c>
      <c r="G47" s="1116">
        <v>129.06848552338522</v>
      </c>
      <c r="H47" s="1116">
        <v>110.53561423377234</v>
      </c>
      <c r="I47" s="1116">
        <v>6327</v>
      </c>
      <c r="J47" s="1116">
        <v>6564.84</v>
      </c>
      <c r="K47" s="1116">
        <v>6647.4</v>
      </c>
      <c r="L47" s="1116">
        <v>103.75904852220646</v>
      </c>
      <c r="M47" s="1116">
        <v>98.757935433402579</v>
      </c>
      <c r="N47" s="1116" t="s">
        <v>1584</v>
      </c>
      <c r="O47" s="1116" t="s">
        <v>1584</v>
      </c>
      <c r="P47" s="1116" t="s">
        <v>1584</v>
      </c>
      <c r="R47" s="1116" t="s">
        <v>1584</v>
      </c>
      <c r="S47" s="1116" t="s">
        <v>1584</v>
      </c>
      <c r="U47" s="1116" t="s">
        <v>1584</v>
      </c>
    </row>
    <row r="48" spans="1:21">
      <c r="A48" s="1116" t="s">
        <v>406</v>
      </c>
      <c r="B48" s="1116">
        <v>63732.464999999975</v>
      </c>
      <c r="C48" s="1116">
        <v>273024</v>
      </c>
      <c r="D48" s="1116">
        <v>20366</v>
      </c>
      <c r="E48" s="1116">
        <v>18184.36</v>
      </c>
      <c r="F48" s="1116">
        <v>15669.5</v>
      </c>
      <c r="G48" s="1116">
        <v>89.28783266228028</v>
      </c>
      <c r="H48" s="1116">
        <v>116.04939532212259</v>
      </c>
      <c r="I48" s="1116">
        <v>66626</v>
      </c>
      <c r="J48" s="1116">
        <v>60151.319999999992</v>
      </c>
      <c r="K48" s="1116">
        <v>49754.020000000004</v>
      </c>
      <c r="L48" s="1116">
        <v>90.282052051751563</v>
      </c>
      <c r="M48" s="1116">
        <v>120.89740688290109</v>
      </c>
      <c r="N48" s="1116" t="s">
        <v>1584</v>
      </c>
      <c r="O48" s="1116" t="s">
        <v>1584</v>
      </c>
      <c r="P48" s="1116" t="s">
        <v>1584</v>
      </c>
      <c r="R48" s="1116" t="s">
        <v>1584</v>
      </c>
      <c r="S48" s="1116" t="s">
        <v>1584</v>
      </c>
      <c r="U48" s="1116" t="s">
        <v>1584</v>
      </c>
    </row>
    <row r="49" spans="1:21">
      <c r="A49" s="1116" t="s">
        <v>1239</v>
      </c>
    </row>
    <row r="50" spans="1:21">
      <c r="A50" s="1116" t="s">
        <v>5</v>
      </c>
      <c r="B50" s="1116">
        <v>34925.047999999995</v>
      </c>
      <c r="C50" s="1116">
        <v>191535</v>
      </c>
      <c r="D50" s="1116">
        <v>15333</v>
      </c>
      <c r="E50" s="1116">
        <v>17180.87</v>
      </c>
      <c r="F50" s="1116">
        <v>14720.42</v>
      </c>
      <c r="G50" s="1116">
        <v>112.05158807800166</v>
      </c>
      <c r="H50" s="1116">
        <v>116.71453667762196</v>
      </c>
      <c r="I50" s="1116">
        <v>47438</v>
      </c>
      <c r="J50" s="1116">
        <v>53205.88</v>
      </c>
      <c r="K50" s="1116">
        <v>41458.239999999998</v>
      </c>
      <c r="L50" s="1116">
        <v>112.15877144904928</v>
      </c>
      <c r="M50" s="1116">
        <v>128.33607504804823</v>
      </c>
      <c r="N50" s="1116">
        <v>56.768769570960046</v>
      </c>
      <c r="O50" s="1116">
        <v>69.199696772796187</v>
      </c>
      <c r="P50" s="1116">
        <v>59.285078478449037</v>
      </c>
      <c r="R50" s="1116">
        <v>58.030322866300779</v>
      </c>
      <c r="S50" s="1116">
        <v>70.440386490510974</v>
      </c>
      <c r="U50" s="1116">
        <v>54.588208229616477</v>
      </c>
    </row>
    <row r="51" spans="1:21">
      <c r="A51" s="1116" t="s">
        <v>753</v>
      </c>
      <c r="B51" s="1116">
        <v>5862.45</v>
      </c>
      <c r="C51" s="1116">
        <v>20540</v>
      </c>
      <c r="D51" s="1116">
        <v>2225</v>
      </c>
      <c r="E51" s="1116">
        <v>2327.5500000000002</v>
      </c>
      <c r="F51" s="1116">
        <v>2516.56</v>
      </c>
      <c r="G51" s="1116">
        <v>104.60898876404492</v>
      </c>
      <c r="H51" s="1116">
        <v>92.489350542009717</v>
      </c>
      <c r="I51" s="1116">
        <v>5353</v>
      </c>
      <c r="J51" s="1116">
        <v>5006.6400000000003</v>
      </c>
      <c r="K51" s="1116">
        <v>5866.61</v>
      </c>
      <c r="L51" s="1116">
        <v>93.529628245843497</v>
      </c>
      <c r="M51" s="1116">
        <v>85.341295910244639</v>
      </c>
      <c r="N51" s="1116" t="s">
        <v>1584</v>
      </c>
      <c r="O51" s="1116" t="s">
        <v>1584</v>
      </c>
      <c r="P51" s="1116" t="s">
        <v>1584</v>
      </c>
      <c r="R51" s="1116" t="s">
        <v>1584</v>
      </c>
      <c r="S51" s="1116" t="s">
        <v>1584</v>
      </c>
      <c r="U51" s="1116" t="s">
        <v>1584</v>
      </c>
    </row>
    <row r="52" spans="1:21">
      <c r="A52" s="1116" t="s">
        <v>406</v>
      </c>
      <c r="B52" s="1116">
        <v>40787.497999999992</v>
      </c>
      <c r="C52" s="1116">
        <v>212075</v>
      </c>
      <c r="D52" s="1116">
        <v>17558</v>
      </c>
      <c r="E52" s="1116">
        <v>19508.419999999998</v>
      </c>
      <c r="F52" s="1116">
        <v>17236.98</v>
      </c>
      <c r="G52" s="1116">
        <v>111.10844059687889</v>
      </c>
      <c r="H52" s="1116">
        <v>113.17771442561283</v>
      </c>
      <c r="I52" s="1116">
        <v>52791</v>
      </c>
      <c r="J52" s="1116">
        <v>58212.52</v>
      </c>
      <c r="K52" s="1116">
        <v>47324.85</v>
      </c>
      <c r="L52" s="1116">
        <v>110.26978083385426</v>
      </c>
      <c r="M52" s="1116">
        <v>123.00624302031595</v>
      </c>
      <c r="N52" s="1116" t="s">
        <v>1584</v>
      </c>
      <c r="O52" s="1116" t="s">
        <v>1584</v>
      </c>
      <c r="P52" s="1116" t="s">
        <v>1584</v>
      </c>
      <c r="R52" s="1116" t="s">
        <v>1584</v>
      </c>
      <c r="S52" s="1116" t="s">
        <v>1584</v>
      </c>
      <c r="U52" s="1116" t="s">
        <v>1584</v>
      </c>
    </row>
    <row r="53" spans="1:21">
      <c r="A53" s="1116" t="s">
        <v>1240</v>
      </c>
    </row>
    <row r="54" spans="1:21">
      <c r="A54" s="1116" t="s">
        <v>5</v>
      </c>
      <c r="B54" s="1116">
        <v>2505.9549999999995</v>
      </c>
      <c r="C54" s="1116">
        <v>12760</v>
      </c>
      <c r="D54" s="1116">
        <v>1063</v>
      </c>
      <c r="E54" s="1116">
        <v>1027.0999999999999</v>
      </c>
      <c r="F54" s="1116">
        <v>1060.1099999999999</v>
      </c>
      <c r="G54" s="1116">
        <v>96.622765757290694</v>
      </c>
      <c r="H54" s="1116">
        <v>96.886172189678462</v>
      </c>
      <c r="I54" s="1116">
        <v>3029</v>
      </c>
      <c r="J54" s="1116">
        <v>2914.02</v>
      </c>
      <c r="K54" s="1116">
        <v>3165.21</v>
      </c>
      <c r="L54" s="1116">
        <v>96.204027731924725</v>
      </c>
      <c r="M54" s="1116">
        <v>92.064033666012662</v>
      </c>
      <c r="N54" s="1116">
        <v>44.074074074074069</v>
      </c>
      <c r="O54" s="1116">
        <v>62.251851851851846</v>
      </c>
      <c r="P54" s="1116">
        <v>52.835185185185182</v>
      </c>
      <c r="R54" s="1116">
        <v>44.078144078144078</v>
      </c>
      <c r="S54" s="1116">
        <v>61.67460317460317</v>
      </c>
      <c r="U54" s="1116">
        <v>45.015873015873012</v>
      </c>
    </row>
    <row r="55" spans="1:21">
      <c r="A55" s="1116" t="s">
        <v>753</v>
      </c>
      <c r="B55" s="1116">
        <v>2027</v>
      </c>
      <c r="C55" s="1116">
        <v>6839</v>
      </c>
      <c r="D55" s="1116">
        <v>800</v>
      </c>
      <c r="E55" s="1116">
        <v>714.77</v>
      </c>
      <c r="F55" s="1116">
        <v>642.1</v>
      </c>
      <c r="G55" s="1116">
        <v>89.346249999999998</v>
      </c>
      <c r="H55" s="1116">
        <v>111.31755178321134</v>
      </c>
      <c r="I55" s="1116">
        <v>1712</v>
      </c>
      <c r="J55" s="1116">
        <v>1458.85</v>
      </c>
      <c r="K55" s="1116">
        <v>1133.46</v>
      </c>
      <c r="L55" s="1116">
        <v>85.213259345794398</v>
      </c>
      <c r="M55" s="1116">
        <v>128.7077620736506</v>
      </c>
      <c r="N55" s="1116" t="s">
        <v>1584</v>
      </c>
      <c r="O55" s="1116" t="s">
        <v>1584</v>
      </c>
      <c r="P55" s="1116" t="s">
        <v>1584</v>
      </c>
      <c r="R55" s="1116" t="s">
        <v>1584</v>
      </c>
      <c r="S55" s="1116" t="s">
        <v>1584</v>
      </c>
      <c r="U55" s="1116" t="s">
        <v>1584</v>
      </c>
    </row>
    <row r="56" spans="1:21">
      <c r="A56" s="1116" t="s">
        <v>406</v>
      </c>
      <c r="B56" s="1116">
        <v>4532.9549999999999</v>
      </c>
      <c r="C56" s="1116">
        <v>19599</v>
      </c>
      <c r="D56" s="1116">
        <v>1863</v>
      </c>
      <c r="E56" s="1116">
        <v>1741.87</v>
      </c>
      <c r="F56" s="1116">
        <v>1702.21</v>
      </c>
      <c r="G56" s="1116">
        <v>93.498121309715515</v>
      </c>
      <c r="H56" s="1116">
        <v>102.32991229049293</v>
      </c>
      <c r="I56" s="1116">
        <v>4741</v>
      </c>
      <c r="J56" s="1116">
        <v>4372.87</v>
      </c>
      <c r="K56" s="1116">
        <v>4298.67</v>
      </c>
      <c r="L56" s="1116">
        <v>92.235182450959712</v>
      </c>
      <c r="M56" s="1116">
        <v>101.72611528682127</v>
      </c>
      <c r="N56" s="1116" t="s">
        <v>1584</v>
      </c>
      <c r="O56" s="1116" t="s">
        <v>1584</v>
      </c>
      <c r="P56" s="1116" t="s">
        <v>1584</v>
      </c>
      <c r="R56" s="1116" t="s">
        <v>1584</v>
      </c>
      <c r="S56" s="1116" t="s">
        <v>1584</v>
      </c>
      <c r="U56" s="1116" t="s">
        <v>1584</v>
      </c>
    </row>
    <row r="57" spans="1:21">
      <c r="A57" s="1116" t="s">
        <v>1241</v>
      </c>
    </row>
    <row r="58" spans="1:21">
      <c r="A58" s="1116" t="s">
        <v>426</v>
      </c>
      <c r="B58" s="1116">
        <v>0</v>
      </c>
      <c r="C58" s="1116">
        <v>8236</v>
      </c>
      <c r="D58" s="1116">
        <v>1144</v>
      </c>
      <c r="E58" s="1116">
        <v>1145.74</v>
      </c>
      <c r="F58" s="1116">
        <v>1214.5</v>
      </c>
      <c r="G58" s="1116">
        <v>100.15209790209789</v>
      </c>
      <c r="H58" s="1116">
        <v>94.338410868670223</v>
      </c>
      <c r="I58" s="1116">
        <v>2770</v>
      </c>
      <c r="J58" s="1116">
        <v>1866.04</v>
      </c>
      <c r="K58" s="1116">
        <v>2256.5</v>
      </c>
      <c r="L58" s="1116">
        <v>67.366064981949464</v>
      </c>
      <c r="M58" s="1116">
        <v>82.696210946155546</v>
      </c>
    </row>
    <row r="59" spans="1:21">
      <c r="A59" s="1116" t="s">
        <v>1242</v>
      </c>
    </row>
    <row r="60" spans="1:21">
      <c r="A60" s="1116" t="s">
        <v>5</v>
      </c>
      <c r="B60" s="1116">
        <v>233991.71800000014</v>
      </c>
      <c r="C60" s="1116">
        <v>1155200</v>
      </c>
      <c r="D60" s="1116">
        <v>92728</v>
      </c>
      <c r="E60" s="1116">
        <v>85478.13</v>
      </c>
      <c r="F60" s="1116">
        <v>78147.17</v>
      </c>
      <c r="G60" s="1116">
        <v>92.181574066085744</v>
      </c>
      <c r="H60" s="1116">
        <v>109.38096670679171</v>
      </c>
      <c r="I60" s="1116">
        <v>285119</v>
      </c>
      <c r="J60" s="1116">
        <v>276682.11</v>
      </c>
      <c r="K60" s="1116">
        <v>222846.64</v>
      </c>
      <c r="L60" s="1116">
        <v>97.040922562158244</v>
      </c>
      <c r="M60" s="1116">
        <v>124.15807929614726</v>
      </c>
      <c r="N60" s="1116">
        <v>57.151108893453141</v>
      </c>
      <c r="O60" s="1116">
        <v>55.051628755332452</v>
      </c>
      <c r="P60" s="1116">
        <v>49.881817919087119</v>
      </c>
      <c r="R60" s="1116">
        <v>58.398176843246176</v>
      </c>
      <c r="S60" s="1116">
        <v>58.639295638075538</v>
      </c>
      <c r="U60" s="1116">
        <v>46.697313590126051</v>
      </c>
    </row>
    <row r="61" spans="1:21">
      <c r="A61" s="1116" t="s">
        <v>754</v>
      </c>
      <c r="B61" s="1116">
        <v>6780</v>
      </c>
      <c r="C61" s="1116">
        <v>43020</v>
      </c>
      <c r="D61" s="1116">
        <v>3623</v>
      </c>
      <c r="E61" s="1116">
        <v>3793.48</v>
      </c>
      <c r="F61" s="1116">
        <v>3764.73</v>
      </c>
      <c r="G61" s="1116">
        <v>104.70549268561966</v>
      </c>
      <c r="H61" s="1116">
        <v>100.76361345243168</v>
      </c>
      <c r="I61" s="1116">
        <v>11186</v>
      </c>
      <c r="J61" s="1116">
        <v>11157.37</v>
      </c>
      <c r="K61" s="1116">
        <v>11422.35</v>
      </c>
      <c r="L61" s="1116">
        <v>99.744019309851595</v>
      </c>
      <c r="M61" s="1116">
        <v>97.680127119200549</v>
      </c>
      <c r="N61" s="1116">
        <v>68.1835290575128</v>
      </c>
      <c r="O61" s="1116">
        <v>77.709767289413307</v>
      </c>
      <c r="P61" s="1116">
        <v>77.120821042281236</v>
      </c>
      <c r="R61" s="1116">
        <v>69.401014522965738</v>
      </c>
      <c r="S61" s="1116">
        <v>75.349322506402146</v>
      </c>
      <c r="U61" s="1116">
        <v>77.138805147654693</v>
      </c>
    </row>
    <row r="62" spans="1:21">
      <c r="A62" s="1116" t="s">
        <v>753</v>
      </c>
      <c r="B62" s="1116">
        <v>46209.219999999994</v>
      </c>
      <c r="C62" s="1116">
        <v>149544</v>
      </c>
      <c r="D62" s="1116">
        <v>15341</v>
      </c>
      <c r="E62" s="1116">
        <v>16000.21</v>
      </c>
      <c r="F62" s="1116">
        <v>17015.82</v>
      </c>
      <c r="G62" s="1116">
        <v>104.29704712860959</v>
      </c>
      <c r="H62" s="1116">
        <v>94.031383385072388</v>
      </c>
      <c r="I62" s="1116">
        <v>39009</v>
      </c>
      <c r="J62" s="1116">
        <v>36017.83</v>
      </c>
      <c r="K62" s="1116">
        <v>41163.370000000003</v>
      </c>
      <c r="L62" s="1116">
        <v>92.332097721038735</v>
      </c>
      <c r="M62" s="1116">
        <v>87.499706656670739</v>
      </c>
      <c r="N62" s="1116" t="s">
        <v>1584</v>
      </c>
      <c r="O62" s="1116" t="s">
        <v>1584</v>
      </c>
      <c r="P62" s="1116" t="s">
        <v>1584</v>
      </c>
      <c r="R62" s="1116" t="s">
        <v>1584</v>
      </c>
      <c r="S62" s="1116" t="s">
        <v>1584</v>
      </c>
      <c r="U62" s="1116" t="s">
        <v>1584</v>
      </c>
    </row>
    <row r="63" spans="1:21">
      <c r="A63" s="1116" t="s">
        <v>1231</v>
      </c>
      <c r="B63" s="1116">
        <v>0</v>
      </c>
      <c r="C63" s="1116">
        <v>8236</v>
      </c>
      <c r="D63" s="1116">
        <v>1144</v>
      </c>
      <c r="E63" s="1116">
        <v>1145.74</v>
      </c>
      <c r="F63" s="1116">
        <v>1214.5</v>
      </c>
      <c r="G63" s="1116">
        <v>100.15209790209789</v>
      </c>
      <c r="H63" s="1116">
        <v>94.338410868670223</v>
      </c>
      <c r="I63" s="1116">
        <v>2770</v>
      </c>
      <c r="J63" s="1116">
        <v>1866.04</v>
      </c>
      <c r="K63" s="1116">
        <v>2256.5</v>
      </c>
      <c r="L63" s="1116">
        <v>67.366064981949464</v>
      </c>
      <c r="M63" s="1116">
        <v>82.696210946155546</v>
      </c>
    </row>
    <row r="64" spans="1:21">
      <c r="A64" s="1116" t="s">
        <v>406</v>
      </c>
      <c r="B64" s="1116">
        <v>286980.93800000014</v>
      </c>
      <c r="C64" s="1116">
        <v>1356000</v>
      </c>
      <c r="D64" s="1116">
        <v>112836</v>
      </c>
      <c r="E64" s="1116">
        <v>106417.56000000001</v>
      </c>
      <c r="F64" s="1116">
        <v>100142.22</v>
      </c>
      <c r="G64" s="1116">
        <v>94.311709029033295</v>
      </c>
      <c r="H64" s="1116">
        <v>106.26642788626017</v>
      </c>
      <c r="I64" s="1116">
        <v>338084</v>
      </c>
      <c r="J64" s="1116">
        <v>325723.34999999998</v>
      </c>
      <c r="K64" s="1116">
        <v>277688.86000000004</v>
      </c>
      <c r="L64" s="1116">
        <v>96.343911572271963</v>
      </c>
      <c r="M64" s="1116">
        <v>117.29795354412127</v>
      </c>
    </row>
    <row r="67" spans="1:19">
      <c r="C67" s="1116" t="s">
        <v>1575</v>
      </c>
      <c r="Q67" s="1116" t="s">
        <v>1585</v>
      </c>
    </row>
    <row r="69" spans="1:19">
      <c r="C69" s="1116" t="s">
        <v>1577</v>
      </c>
    </row>
    <row r="70" spans="1:19">
      <c r="C70" s="1116" t="s">
        <v>1905</v>
      </c>
    </row>
    <row r="71" spans="1:19">
      <c r="A71" s="1116" t="s">
        <v>1243</v>
      </c>
    </row>
    <row r="72" spans="1:19">
      <c r="A72" s="1116" t="s">
        <v>1244</v>
      </c>
      <c r="B72" s="1116" t="s">
        <v>1586</v>
      </c>
      <c r="C72" s="1116" t="s">
        <v>1549</v>
      </c>
      <c r="D72" s="1116" t="s">
        <v>1006</v>
      </c>
      <c r="N72" s="1116" t="s">
        <v>1007</v>
      </c>
    </row>
    <row r="73" spans="1:19">
      <c r="D73" s="1116" t="s">
        <v>1906</v>
      </c>
      <c r="I73" s="1116" t="s">
        <v>1907</v>
      </c>
      <c r="N73" s="1116" t="s">
        <v>1906</v>
      </c>
      <c r="Q73" s="1116" t="s">
        <v>1907</v>
      </c>
    </row>
    <row r="74" spans="1:19">
      <c r="D74" s="1116" t="s">
        <v>1008</v>
      </c>
      <c r="E74" s="1116" t="s">
        <v>1009</v>
      </c>
      <c r="F74" s="1116" t="s">
        <v>1578</v>
      </c>
      <c r="G74" s="1116" t="s">
        <v>1587</v>
      </c>
      <c r="H74" s="1116" t="s">
        <v>1588</v>
      </c>
      <c r="I74" s="1116" t="s">
        <v>1008</v>
      </c>
      <c r="J74" s="1116" t="s">
        <v>1009</v>
      </c>
      <c r="L74" s="1116" t="s">
        <v>1582</v>
      </c>
      <c r="M74" s="1116" t="s">
        <v>1583</v>
      </c>
      <c r="N74" s="1116" t="s">
        <v>1008</v>
      </c>
      <c r="O74" s="1116" t="s">
        <v>1009</v>
      </c>
      <c r="Q74" s="1116" t="s">
        <v>1008</v>
      </c>
      <c r="R74" s="1116" t="s">
        <v>1009</v>
      </c>
    </row>
    <row r="75" spans="1:19">
      <c r="C75" s="1116" t="s">
        <v>1556</v>
      </c>
    </row>
    <row r="76" spans="1:19">
      <c r="P76" s="1116" t="s">
        <v>1557</v>
      </c>
    </row>
    <row r="77" spans="1:19">
      <c r="K77" s="1116" t="s">
        <v>1557</v>
      </c>
      <c r="S77" s="1116" t="s">
        <v>1557</v>
      </c>
    </row>
    <row r="78" spans="1:19">
      <c r="F78" s="1116" t="s">
        <v>1557</v>
      </c>
    </row>
    <row r="79" spans="1:19">
      <c r="B79" s="1116" t="s">
        <v>1558</v>
      </c>
      <c r="C79" s="1116" t="s">
        <v>1559</v>
      </c>
      <c r="D79" s="1116" t="s">
        <v>1560</v>
      </c>
      <c r="E79" s="1116" t="s">
        <v>1561</v>
      </c>
      <c r="G79" s="1116" t="s">
        <v>1563</v>
      </c>
      <c r="H79" s="1116" t="s">
        <v>1564</v>
      </c>
      <c r="I79" s="1116" t="s">
        <v>1565</v>
      </c>
      <c r="J79" s="1116" t="s">
        <v>1566</v>
      </c>
      <c r="K79" s="1116" t="s">
        <v>1567</v>
      </c>
      <c r="L79" s="1116" t="s">
        <v>80</v>
      </c>
      <c r="M79" s="1116" t="s">
        <v>1568</v>
      </c>
      <c r="N79" s="1116" t="s">
        <v>1569</v>
      </c>
      <c r="O79" s="1116" t="s">
        <v>1570</v>
      </c>
      <c r="P79" s="1116" t="s">
        <v>1571</v>
      </c>
      <c r="Q79" s="1116" t="s">
        <v>1572</v>
      </c>
      <c r="R79" s="1116" t="s">
        <v>1573</v>
      </c>
      <c r="S79" s="1116" t="s">
        <v>1574</v>
      </c>
    </row>
    <row r="81" spans="1:19">
      <c r="A81" s="1116" t="s">
        <v>8</v>
      </c>
    </row>
    <row r="82" spans="1:19">
      <c r="A82" s="1116" t="s">
        <v>5</v>
      </c>
      <c r="B82" s="1116">
        <v>72777.910000000018</v>
      </c>
      <c r="C82" s="1116">
        <v>366595</v>
      </c>
      <c r="D82" s="1116">
        <v>28825</v>
      </c>
      <c r="E82" s="1116">
        <v>31401.360000000001</v>
      </c>
      <c r="F82" s="1116">
        <v>27311.49</v>
      </c>
      <c r="G82" s="1116">
        <v>108.93793581960108</v>
      </c>
      <c r="H82" s="1116">
        <v>114.97490616586654</v>
      </c>
      <c r="I82" s="1116">
        <v>89238</v>
      </c>
      <c r="J82" s="1116">
        <v>100441.15</v>
      </c>
      <c r="K82" s="1116">
        <v>78648.399999999994</v>
      </c>
      <c r="L82" s="1116">
        <v>112.55424034604096</v>
      </c>
      <c r="M82" s="1116">
        <v>127.70908626240336</v>
      </c>
      <c r="N82" s="1116">
        <v>55.8163414991932</v>
      </c>
      <c r="O82" s="1116">
        <v>66.42987361338426</v>
      </c>
      <c r="P82" s="1116">
        <v>58.500273786984422</v>
      </c>
      <c r="Q82" s="1116">
        <v>57.702523348240895</v>
      </c>
      <c r="R82" s="1116">
        <v>69.593338948424815</v>
      </c>
      <c r="S82" s="1116">
        <v>55.267947402302568</v>
      </c>
    </row>
    <row r="83" spans="1:19">
      <c r="A83" s="1116" t="s">
        <v>754</v>
      </c>
      <c r="B83" s="1116">
        <v>6780</v>
      </c>
      <c r="C83" s="1116">
        <v>43020</v>
      </c>
      <c r="D83" s="1116">
        <v>3623</v>
      </c>
      <c r="E83" s="1116">
        <v>3793.48</v>
      </c>
      <c r="F83" s="1116">
        <v>3764.73</v>
      </c>
      <c r="G83" s="1116">
        <v>104.70549268561966</v>
      </c>
      <c r="H83" s="1116">
        <v>100.76361345243166</v>
      </c>
      <c r="I83" s="1116">
        <v>11186</v>
      </c>
      <c r="J83" s="1116">
        <v>11157.37</v>
      </c>
      <c r="K83" s="1116">
        <v>11422.35</v>
      </c>
      <c r="L83" s="1116">
        <v>99.744019309851566</v>
      </c>
      <c r="M83" s="1116">
        <v>97.680127119200506</v>
      </c>
      <c r="N83" s="1116">
        <v>68.1835290575128</v>
      </c>
      <c r="O83" s="1116">
        <v>77.709767289413307</v>
      </c>
      <c r="P83" s="1116">
        <v>77.120821042281221</v>
      </c>
      <c r="Q83" s="1116">
        <v>69.401014522965738</v>
      </c>
      <c r="R83" s="1116">
        <v>75.349322506402132</v>
      </c>
      <c r="S83" s="1116">
        <v>77.138805147654693</v>
      </c>
    </row>
    <row r="84" spans="1:19">
      <c r="A84" s="1116" t="s">
        <v>753</v>
      </c>
      <c r="B84" s="1116">
        <v>15646.720000000001</v>
      </c>
      <c r="C84" s="1116">
        <v>61044</v>
      </c>
      <c r="D84" s="1116">
        <v>7276</v>
      </c>
      <c r="E84" s="1116">
        <v>7023.29</v>
      </c>
      <c r="F84" s="1116">
        <v>7795.43</v>
      </c>
      <c r="G84" s="1116">
        <v>96.526800439802059</v>
      </c>
      <c r="H84" s="1116">
        <v>90.094965896685608</v>
      </c>
      <c r="I84" s="1116">
        <v>17717</v>
      </c>
      <c r="J84" s="1116">
        <v>15227.22</v>
      </c>
      <c r="K84" s="1116">
        <v>18035.57</v>
      </c>
      <c r="L84" s="1116">
        <v>85.946949257775017</v>
      </c>
      <c r="M84" s="1116">
        <v>84.428831470255716</v>
      </c>
      <c r="N84" s="1116" t="s">
        <v>1584</v>
      </c>
      <c r="O84" s="1116" t="s">
        <v>1584</v>
      </c>
      <c r="P84" s="1116" t="s">
        <v>1584</v>
      </c>
      <c r="Q84" s="1116" t="s">
        <v>1584</v>
      </c>
      <c r="R84" s="1116" t="s">
        <v>1584</v>
      </c>
      <c r="S84" s="1116" t="s">
        <v>1584</v>
      </c>
    </row>
    <row r="85" spans="1:19">
      <c r="A85" s="1116" t="s">
        <v>1232</v>
      </c>
      <c r="B85" s="1116">
        <v>95204.630000000019</v>
      </c>
      <c r="C85" s="1116">
        <v>470659</v>
      </c>
      <c r="D85" s="1116">
        <v>39724</v>
      </c>
      <c r="E85" s="1116">
        <v>42218.130000000005</v>
      </c>
      <c r="F85" s="1116">
        <v>38871.65</v>
      </c>
      <c r="G85" s="1116">
        <v>106.27864766891553</v>
      </c>
      <c r="H85" s="1116">
        <v>108.60905055483883</v>
      </c>
      <c r="I85" s="1116">
        <v>118141</v>
      </c>
      <c r="J85" s="1116">
        <v>126825.73999999999</v>
      </c>
      <c r="K85" s="1116">
        <v>108106.32</v>
      </c>
      <c r="L85" s="1116">
        <v>107.3511651331883</v>
      </c>
      <c r="M85" s="1116">
        <v>117.31574990250337</v>
      </c>
    </row>
    <row r="86" spans="1:19">
      <c r="A86" s="1116" t="s">
        <v>474</v>
      </c>
    </row>
    <row r="87" spans="1:19">
      <c r="A87" s="1116" t="s">
        <v>5</v>
      </c>
      <c r="B87" s="1116">
        <v>74374.863000000012</v>
      </c>
      <c r="C87" s="1116">
        <v>388240</v>
      </c>
      <c r="D87" s="1116">
        <v>31534</v>
      </c>
      <c r="E87" s="1116">
        <v>22677.23</v>
      </c>
      <c r="F87" s="1116">
        <v>20972.46</v>
      </c>
      <c r="G87" s="1116">
        <v>71.913585336462233</v>
      </c>
      <c r="H87" s="1116">
        <v>108.12861247559896</v>
      </c>
      <c r="I87" s="1116">
        <v>97602</v>
      </c>
      <c r="J87" s="1116">
        <v>77368.600000000006</v>
      </c>
      <c r="K87" s="1116">
        <v>60990.68</v>
      </c>
      <c r="L87" s="1116">
        <v>79.269482182742152</v>
      </c>
      <c r="M87" s="1116">
        <v>126.85315198977942</v>
      </c>
      <c r="N87" s="1116">
        <v>58.981408899842833</v>
      </c>
      <c r="O87" s="1116">
        <v>44.603037915947993</v>
      </c>
      <c r="P87" s="1116">
        <v>39.727570133190547</v>
      </c>
      <c r="Q87" s="1116">
        <v>60.919412292296357</v>
      </c>
      <c r="R87" s="1116">
        <v>50.079366754225575</v>
      </c>
      <c r="S87" s="1116">
        <v>37.84562983039303</v>
      </c>
    </row>
    <row r="88" spans="1:19">
      <c r="A88" s="1116" t="s">
        <v>753</v>
      </c>
      <c r="B88" s="1116">
        <v>27069.499999999996</v>
      </c>
      <c r="C88" s="1116">
        <v>74198</v>
      </c>
      <c r="D88" s="1116">
        <v>6164</v>
      </c>
      <c r="E88" s="1116">
        <v>7068.76</v>
      </c>
      <c r="F88" s="1116">
        <v>7118.06</v>
      </c>
      <c r="G88" s="1116">
        <v>114.6781310837119</v>
      </c>
      <c r="H88" s="1116">
        <v>99.30746531180219</v>
      </c>
      <c r="I88" s="1116">
        <v>17268</v>
      </c>
      <c r="J88" s="1116">
        <v>17434.560000000001</v>
      </c>
      <c r="K88" s="1116">
        <v>19126.37</v>
      </c>
      <c r="L88" s="1116">
        <v>100.96456451239287</v>
      </c>
      <c r="M88" s="1116">
        <v>91.154573502447093</v>
      </c>
      <c r="N88" s="1116" t="s">
        <v>1584</v>
      </c>
      <c r="O88" s="1116" t="s">
        <v>1584</v>
      </c>
      <c r="P88" s="1116" t="s">
        <v>1584</v>
      </c>
      <c r="Q88" s="1116" t="s">
        <v>1584</v>
      </c>
      <c r="R88" s="1116" t="s">
        <v>1584</v>
      </c>
      <c r="S88" s="1116" t="s">
        <v>1584</v>
      </c>
    </row>
    <row r="89" spans="1:19">
      <c r="A89" s="1116" t="s">
        <v>1232</v>
      </c>
      <c r="B89" s="1116">
        <v>101444.36300000001</v>
      </c>
      <c r="C89" s="1116">
        <v>462438</v>
      </c>
      <c r="D89" s="1116">
        <v>37698</v>
      </c>
      <c r="E89" s="1116">
        <v>29745.989999999998</v>
      </c>
      <c r="F89" s="1116">
        <v>28090.52</v>
      </c>
      <c r="G89" s="1116">
        <v>78.906016234282987</v>
      </c>
      <c r="H89" s="1116">
        <v>105.89334052911801</v>
      </c>
      <c r="I89" s="1116">
        <v>114870</v>
      </c>
      <c r="J89" s="1116">
        <v>94803.16</v>
      </c>
      <c r="K89" s="1116">
        <v>80117.05</v>
      </c>
      <c r="L89" s="1116">
        <v>82.530826151301468</v>
      </c>
      <c r="M89" s="1116">
        <v>118.33081722305052</v>
      </c>
    </row>
    <row r="90" spans="1:19">
      <c r="A90" s="1116" t="s">
        <v>1245</v>
      </c>
    </row>
    <row r="91" spans="1:19">
      <c r="A91" s="1116" t="s">
        <v>5</v>
      </c>
      <c r="B91" s="1116">
        <v>2917</v>
      </c>
      <c r="C91" s="1116">
        <v>17485</v>
      </c>
      <c r="D91" s="1116">
        <v>1502</v>
      </c>
      <c r="E91" s="1116">
        <v>1318.77</v>
      </c>
      <c r="F91" s="1116">
        <v>1237.18</v>
      </c>
      <c r="G91" s="1116">
        <v>87.800932090545942</v>
      </c>
      <c r="H91" s="1116">
        <v>106.59483664462729</v>
      </c>
      <c r="I91" s="1116">
        <v>4545</v>
      </c>
      <c r="J91" s="1116">
        <v>4484.74</v>
      </c>
      <c r="K91" s="1116">
        <v>3512.9</v>
      </c>
      <c r="L91" s="1116">
        <v>98.674059405940568</v>
      </c>
      <c r="M91" s="1116">
        <v>127.66477838822622</v>
      </c>
      <c r="N91" s="1116">
        <v>71.398124467178178</v>
      </c>
      <c r="O91" s="1116">
        <v>61.402894491129778</v>
      </c>
      <c r="P91" s="1116">
        <v>56.101571063207899</v>
      </c>
      <c r="Q91" s="1116">
        <v>71.182319081478752</v>
      </c>
      <c r="R91" s="1116">
        <v>70.287914496902431</v>
      </c>
      <c r="S91" s="1116">
        <v>52.450762913861205</v>
      </c>
    </row>
    <row r="92" spans="1:19">
      <c r="A92" s="1116" t="s">
        <v>753</v>
      </c>
      <c r="B92" s="1116">
        <v>447</v>
      </c>
      <c r="C92" s="1116">
        <v>1470</v>
      </c>
      <c r="D92" s="1116">
        <v>126</v>
      </c>
      <c r="E92" s="1116">
        <v>129.55000000000001</v>
      </c>
      <c r="F92" s="1116">
        <v>140.26</v>
      </c>
      <c r="G92" s="1116">
        <v>102.8174603174603</v>
      </c>
      <c r="H92" s="1116">
        <v>92.361546797467611</v>
      </c>
      <c r="I92" s="1116">
        <v>386</v>
      </c>
      <c r="J92" s="1116">
        <v>379.16</v>
      </c>
      <c r="K92" s="1116">
        <v>433.87</v>
      </c>
      <c r="L92" s="1116">
        <v>98.22694300518134</v>
      </c>
      <c r="M92" s="1116">
        <v>87.389310162030085</v>
      </c>
      <c r="N92" s="1116" t="s">
        <v>1584</v>
      </c>
      <c r="O92" s="1116" t="s">
        <v>1584</v>
      </c>
      <c r="P92" s="1116" t="s">
        <v>1584</v>
      </c>
      <c r="Q92" s="1116" t="s">
        <v>1584</v>
      </c>
      <c r="R92" s="1116" t="s">
        <v>1584</v>
      </c>
      <c r="S92" s="1116" t="s">
        <v>1584</v>
      </c>
    </row>
    <row r="93" spans="1:19">
      <c r="A93" s="1116" t="s">
        <v>1232</v>
      </c>
      <c r="B93" s="1116">
        <v>3364</v>
      </c>
      <c r="C93" s="1116">
        <v>18955</v>
      </c>
      <c r="D93" s="1116">
        <v>1628</v>
      </c>
      <c r="E93" s="1116">
        <v>1448.32</v>
      </c>
      <c r="F93" s="1116">
        <v>1377.44</v>
      </c>
      <c r="G93" s="1116">
        <v>88.963144963144956</v>
      </c>
      <c r="H93" s="1116">
        <v>105.14577767452664</v>
      </c>
      <c r="I93" s="1116">
        <v>4931</v>
      </c>
      <c r="J93" s="1116">
        <v>4863.8999999999996</v>
      </c>
      <c r="K93" s="1116">
        <v>3946.77</v>
      </c>
      <c r="L93" s="1116">
        <v>98.639221253295474</v>
      </c>
      <c r="M93" s="1116">
        <v>123.23748280239283</v>
      </c>
    </row>
    <row r="94" spans="1:19">
      <c r="A94" s="1116" t="s">
        <v>1246</v>
      </c>
    </row>
    <row r="95" spans="1:19">
      <c r="A95" s="1116" t="s">
        <v>5</v>
      </c>
      <c r="B95" s="1116">
        <v>83921.944999999963</v>
      </c>
      <c r="C95" s="1116">
        <v>382880</v>
      </c>
      <c r="D95" s="1116">
        <v>30867</v>
      </c>
      <c r="E95" s="1116">
        <v>30080.77</v>
      </c>
      <c r="F95" s="1116">
        <v>28626.04</v>
      </c>
      <c r="G95" s="1116">
        <v>97.452846081575814</v>
      </c>
      <c r="H95" s="1116">
        <v>105.08184156802682</v>
      </c>
      <c r="I95" s="1116">
        <v>93734</v>
      </c>
      <c r="J95" s="1116">
        <v>94387.62</v>
      </c>
      <c r="K95" s="1116">
        <v>79694.66</v>
      </c>
      <c r="L95" s="1116">
        <v>100.69731260801846</v>
      </c>
      <c r="M95" s="1116">
        <v>118.43656651524716</v>
      </c>
      <c r="N95" s="1116">
        <v>56.098799588912705</v>
      </c>
      <c r="O95" s="1116">
        <v>54.682414005454405</v>
      </c>
      <c r="P95" s="1116">
        <v>51.754341059873923</v>
      </c>
      <c r="Q95" s="1116">
        <v>56.166652309544332</v>
      </c>
      <c r="R95" s="1116">
        <v>56.701325539887272</v>
      </c>
      <c r="S95" s="1116">
        <v>47.452911346350604</v>
      </c>
    </row>
    <row r="96" spans="1:19">
      <c r="A96" s="1116" t="s">
        <v>753</v>
      </c>
      <c r="B96" s="1116">
        <v>3046</v>
      </c>
      <c r="C96" s="1116">
        <v>12832</v>
      </c>
      <c r="D96" s="1116">
        <v>1775</v>
      </c>
      <c r="E96" s="1116">
        <v>1778.61</v>
      </c>
      <c r="F96" s="1116">
        <v>1962.07</v>
      </c>
      <c r="G96" s="1116">
        <v>100.20338028169013</v>
      </c>
      <c r="H96" s="1116">
        <v>90.649671010718237</v>
      </c>
      <c r="I96" s="1116">
        <v>3638</v>
      </c>
      <c r="J96" s="1116">
        <v>2976.89</v>
      </c>
      <c r="K96" s="1116">
        <v>3567.56</v>
      </c>
      <c r="L96" s="1116">
        <v>81.827652556349634</v>
      </c>
      <c r="M96" s="1116">
        <v>83.443305788830401</v>
      </c>
      <c r="N96" s="1116" t="s">
        <v>1584</v>
      </c>
      <c r="O96" s="1116" t="s">
        <v>1584</v>
      </c>
      <c r="P96" s="1116" t="s">
        <v>1584</v>
      </c>
      <c r="Q96" s="1116" t="s">
        <v>1584</v>
      </c>
      <c r="R96" s="1116" t="s">
        <v>1584</v>
      </c>
      <c r="S96" s="1116" t="s">
        <v>1584</v>
      </c>
    </row>
    <row r="97" spans="1:20">
      <c r="A97" s="1116" t="s">
        <v>1232</v>
      </c>
      <c r="B97" s="1116">
        <v>86967.944999999963</v>
      </c>
      <c r="C97" s="1116">
        <v>395712</v>
      </c>
      <c r="D97" s="1116">
        <v>32642</v>
      </c>
      <c r="E97" s="1116">
        <v>31859.38</v>
      </c>
      <c r="F97" s="1116">
        <v>30588.11</v>
      </c>
      <c r="G97" s="1116">
        <v>97.602414067765466</v>
      </c>
      <c r="H97" s="1116">
        <v>104.15609202399231</v>
      </c>
      <c r="I97" s="1116">
        <v>97372</v>
      </c>
      <c r="J97" s="1116">
        <v>97364.51</v>
      </c>
      <c r="K97" s="1116">
        <v>83262.22</v>
      </c>
      <c r="L97" s="1116">
        <v>99.992307850306034</v>
      </c>
      <c r="M97" s="1116">
        <v>116.9372015302979</v>
      </c>
    </row>
    <row r="98" spans="1:20">
      <c r="A98" s="1116" t="s">
        <v>1247</v>
      </c>
      <c r="B98" s="1116">
        <v>90331.944999999963</v>
      </c>
      <c r="C98" s="1116">
        <v>414667</v>
      </c>
      <c r="D98" s="1116">
        <v>34270</v>
      </c>
      <c r="E98" s="1116">
        <v>33307.699999999997</v>
      </c>
      <c r="F98" s="1116">
        <v>31965.55</v>
      </c>
      <c r="G98" s="1116">
        <v>97.192004668806547</v>
      </c>
      <c r="H98" s="1116">
        <v>104.19872591602817</v>
      </c>
      <c r="I98" s="1116">
        <v>102303</v>
      </c>
      <c r="J98" s="1116">
        <v>102228.4</v>
      </c>
      <c r="K98" s="1116">
        <v>87208.99</v>
      </c>
      <c r="L98" s="1116">
        <v>99.927080339775074</v>
      </c>
      <c r="M98" s="1116">
        <v>117.22231962553413</v>
      </c>
    </row>
    <row r="99" spans="1:20">
      <c r="A99" s="1116" t="s">
        <v>1231</v>
      </c>
    </row>
    <row r="100" spans="1:20">
      <c r="A100" s="1116" t="s">
        <v>426</v>
      </c>
      <c r="B100" s="1116">
        <v>0</v>
      </c>
      <c r="C100" s="1116">
        <v>8236</v>
      </c>
      <c r="D100" s="1116">
        <v>1144</v>
      </c>
      <c r="E100" s="1116">
        <v>1145.74</v>
      </c>
      <c r="F100" s="1116">
        <v>1214.5</v>
      </c>
      <c r="G100" s="1116">
        <v>100.15209790209789</v>
      </c>
      <c r="H100" s="1116">
        <v>94.338410868670223</v>
      </c>
      <c r="I100" s="1116">
        <v>2770</v>
      </c>
      <c r="J100" s="1116">
        <v>1866.04</v>
      </c>
      <c r="K100" s="1116">
        <v>2256.5</v>
      </c>
      <c r="L100" s="1116">
        <v>67.366064981949464</v>
      </c>
      <c r="M100" s="1116">
        <v>82.696210946155546</v>
      </c>
      <c r="N100" s="1116" t="s">
        <v>1584</v>
      </c>
      <c r="O100" s="1116" t="s">
        <v>1584</v>
      </c>
      <c r="P100" s="1116" t="s">
        <v>1584</v>
      </c>
      <c r="Q100" s="1116" t="s">
        <v>1584</v>
      </c>
      <c r="R100" s="1116" t="s">
        <v>1584</v>
      </c>
      <c r="S100" s="1116" t="s">
        <v>1584</v>
      </c>
    </row>
    <row r="101" spans="1:20">
      <c r="A101" s="1116" t="s">
        <v>1248</v>
      </c>
    </row>
    <row r="104" spans="1:20">
      <c r="C104" s="1116" t="s">
        <v>1575</v>
      </c>
      <c r="Q104" s="1116" t="s">
        <v>1589</v>
      </c>
    </row>
    <row r="106" spans="1:20">
      <c r="C106" s="1116" t="s">
        <v>1577</v>
      </c>
    </row>
    <row r="107" spans="1:20">
      <c r="C107" s="1116" t="s">
        <v>1905</v>
      </c>
    </row>
    <row r="108" spans="1:20">
      <c r="A108" s="1116" t="s">
        <v>1249</v>
      </c>
    </row>
    <row r="109" spans="1:20">
      <c r="A109" s="1116" t="s">
        <v>1250</v>
      </c>
      <c r="B109" s="1116" t="s">
        <v>1586</v>
      </c>
      <c r="C109" s="1116" t="s">
        <v>1549</v>
      </c>
      <c r="D109" s="1116" t="s">
        <v>1006</v>
      </c>
      <c r="N109" s="1116" t="s">
        <v>1007</v>
      </c>
    </row>
    <row r="110" spans="1:20">
      <c r="D110" s="1116" t="s">
        <v>1906</v>
      </c>
      <c r="I110" s="1116" t="s">
        <v>1907</v>
      </c>
      <c r="N110" s="1116" t="s">
        <v>1906</v>
      </c>
      <c r="R110" s="1116" t="s">
        <v>1907</v>
      </c>
    </row>
    <row r="111" spans="1:20">
      <c r="C111" s="1116" t="s">
        <v>1556</v>
      </c>
    </row>
    <row r="112" spans="1:20">
      <c r="D112" s="1116" t="s">
        <v>1008</v>
      </c>
      <c r="E112" s="1116" t="s">
        <v>1009</v>
      </c>
      <c r="F112" s="1116" t="s">
        <v>1578</v>
      </c>
      <c r="G112" s="1116" t="s">
        <v>1590</v>
      </c>
      <c r="H112" s="1116" t="s">
        <v>1588</v>
      </c>
      <c r="I112" s="1116" t="s">
        <v>1008</v>
      </c>
      <c r="J112" s="1116" t="s">
        <v>1009</v>
      </c>
      <c r="K112" s="1116" t="s">
        <v>1581</v>
      </c>
      <c r="L112" s="1116" t="s">
        <v>1591</v>
      </c>
      <c r="M112" s="1116" t="s">
        <v>1583</v>
      </c>
      <c r="N112" s="1116" t="s">
        <v>1008</v>
      </c>
      <c r="O112" s="1116" t="s">
        <v>1009</v>
      </c>
      <c r="P112" s="1116" t="s">
        <v>1578</v>
      </c>
      <c r="R112" s="1116" t="s">
        <v>1008</v>
      </c>
      <c r="S112" s="1116" t="s">
        <v>1009</v>
      </c>
      <c r="T112" s="1116" t="s">
        <v>1581</v>
      </c>
    </row>
    <row r="113" spans="1:20">
      <c r="P113" s="1116" t="s">
        <v>1557</v>
      </c>
      <c r="T113" s="1116" t="s">
        <v>1557</v>
      </c>
    </row>
    <row r="114" spans="1:20">
      <c r="F114" s="1116" t="s">
        <v>1557</v>
      </c>
      <c r="K114" s="1116" t="s">
        <v>1557</v>
      </c>
    </row>
    <row r="115" spans="1:20">
      <c r="B115" s="1116" t="s">
        <v>1558</v>
      </c>
      <c r="C115" s="1116" t="s">
        <v>1559</v>
      </c>
      <c r="D115" s="1116" t="s">
        <v>1560</v>
      </c>
      <c r="E115" s="1116" t="s">
        <v>1561</v>
      </c>
      <c r="F115" s="1116" t="s">
        <v>1562</v>
      </c>
      <c r="G115" s="1116" t="s">
        <v>1563</v>
      </c>
      <c r="H115" s="1116" t="s">
        <v>1564</v>
      </c>
      <c r="I115" s="1116" t="s">
        <v>1565</v>
      </c>
      <c r="J115" s="1116" t="s">
        <v>1566</v>
      </c>
      <c r="K115" s="1116" t="s">
        <v>1567</v>
      </c>
      <c r="L115" s="1116" t="s">
        <v>80</v>
      </c>
      <c r="M115" s="1116" t="s">
        <v>1568</v>
      </c>
      <c r="N115" s="1116" t="s">
        <v>1569</v>
      </c>
      <c r="O115" s="1116" t="s">
        <v>1570</v>
      </c>
      <c r="P115" s="1116" t="s">
        <v>1571</v>
      </c>
      <c r="R115" s="1116" t="s">
        <v>1572</v>
      </c>
      <c r="S115" s="1116" t="s">
        <v>1573</v>
      </c>
      <c r="T115" s="1116" t="s">
        <v>1574</v>
      </c>
    </row>
    <row r="116" spans="1:20">
      <c r="A116" s="1116" t="s">
        <v>5</v>
      </c>
    </row>
    <row r="117" spans="1:20">
      <c r="A117" s="1116" t="s">
        <v>8</v>
      </c>
    </row>
    <row r="118" spans="1:20">
      <c r="A118" s="1116" t="s">
        <v>1251</v>
      </c>
      <c r="B118" s="1116">
        <v>1500</v>
      </c>
      <c r="C118" s="1116">
        <v>3500</v>
      </c>
      <c r="D118" s="1116">
        <v>288</v>
      </c>
      <c r="E118" s="1116">
        <v>443.97</v>
      </c>
      <c r="F118" s="1116">
        <v>0</v>
      </c>
      <c r="G118" s="1116">
        <v>154.15625</v>
      </c>
      <c r="H118" s="1116">
        <v>0</v>
      </c>
      <c r="I118" s="1116">
        <v>873</v>
      </c>
      <c r="J118" s="1116">
        <v>1390.33</v>
      </c>
      <c r="K118" s="1116">
        <v>0</v>
      </c>
      <c r="L118" s="1116">
        <v>159.25887743413517</v>
      </c>
      <c r="M118" s="1116">
        <v>0</v>
      </c>
      <c r="N118" s="1116">
        <v>26.666666666666668</v>
      </c>
      <c r="O118" s="1116">
        <v>41.108333333333327</v>
      </c>
      <c r="P118" s="1116">
        <v>0</v>
      </c>
      <c r="R118" s="1116">
        <v>26.64835164835165</v>
      </c>
      <c r="S118" s="1116">
        <v>42.439865689865684</v>
      </c>
      <c r="T118" s="1116">
        <v>0</v>
      </c>
    </row>
    <row r="119" spans="1:20">
      <c r="A119" s="1116" t="s">
        <v>1252</v>
      </c>
      <c r="B119" s="1116">
        <v>750</v>
      </c>
      <c r="C119" s="1116">
        <v>5200</v>
      </c>
      <c r="D119" s="1116">
        <v>446</v>
      </c>
      <c r="E119" s="1116">
        <v>519.71</v>
      </c>
      <c r="F119" s="1116">
        <v>273.16000000000003</v>
      </c>
      <c r="G119" s="1116">
        <v>116.52690582959642</v>
      </c>
      <c r="H119" s="1116">
        <v>190.25845658222292</v>
      </c>
      <c r="I119" s="1116">
        <v>1352</v>
      </c>
      <c r="J119" s="1116">
        <v>1457.34</v>
      </c>
      <c r="K119" s="1116">
        <v>857.11</v>
      </c>
      <c r="L119" s="1116">
        <v>107.7914201183432</v>
      </c>
      <c r="M119" s="1116">
        <v>170.0295177981823</v>
      </c>
      <c r="N119" s="1116">
        <v>61.944444444444443</v>
      </c>
      <c r="O119" s="1116">
        <v>96.242592592592601</v>
      </c>
      <c r="P119" s="1116">
        <v>50.585185185185189</v>
      </c>
      <c r="R119" s="1116">
        <v>61.904761904761898</v>
      </c>
      <c r="S119" s="1116">
        <v>88.970695970695985</v>
      </c>
      <c r="T119" s="1116">
        <v>52.326617826617813</v>
      </c>
    </row>
    <row r="120" spans="1:20">
      <c r="A120" s="1116" t="s">
        <v>9</v>
      </c>
      <c r="B120" s="1116">
        <v>6750</v>
      </c>
      <c r="C120" s="1116">
        <v>38625</v>
      </c>
      <c r="D120" s="1116">
        <v>3155</v>
      </c>
      <c r="E120" s="1116">
        <v>3333.77</v>
      </c>
      <c r="F120" s="1116">
        <v>2945.42</v>
      </c>
      <c r="G120" s="1116">
        <v>105.66624405705227</v>
      </c>
      <c r="H120" s="1116">
        <v>113.18487685966684</v>
      </c>
      <c r="I120" s="1116">
        <v>9448</v>
      </c>
      <c r="J120" s="1116">
        <v>10470.06</v>
      </c>
      <c r="K120" s="1116">
        <v>6972.55</v>
      </c>
      <c r="L120" s="1116">
        <v>110.81777095681626</v>
      </c>
      <c r="M120" s="1116">
        <v>150.16117489297315</v>
      </c>
      <c r="N120" s="1116">
        <v>62.958971902937421</v>
      </c>
      <c r="O120" s="1116">
        <v>68.59609053497941</v>
      </c>
      <c r="P120" s="1116">
        <v>58.776740102171132</v>
      </c>
      <c r="R120" s="1116">
        <v>62.155277672519048</v>
      </c>
      <c r="S120" s="1116">
        <v>70.300962855531381</v>
      </c>
      <c r="T120" s="1116">
        <v>45.870114679381921</v>
      </c>
    </row>
    <row r="121" spans="1:20">
      <c r="A121" s="1116" t="s">
        <v>1253</v>
      </c>
      <c r="B121" s="1116">
        <v>610</v>
      </c>
      <c r="C121" s="1116">
        <v>3000</v>
      </c>
      <c r="D121" s="1116">
        <v>256</v>
      </c>
      <c r="E121" s="1116">
        <v>271.35000000000002</v>
      </c>
      <c r="F121" s="1116">
        <v>199.26</v>
      </c>
      <c r="G121" s="1116">
        <v>105.99609375000001</v>
      </c>
      <c r="H121" s="1116">
        <v>136.17886178861792</v>
      </c>
      <c r="I121" s="1116">
        <v>777</v>
      </c>
      <c r="J121" s="1116">
        <v>861.15</v>
      </c>
      <c r="K121" s="1116">
        <v>522</v>
      </c>
      <c r="L121" s="1116">
        <v>110.83011583011584</v>
      </c>
      <c r="M121" s="1116">
        <v>164.9712643678161</v>
      </c>
      <c r="N121" s="1116">
        <v>58.287795992714031</v>
      </c>
      <c r="O121" s="1116">
        <v>61.782786885245912</v>
      </c>
      <c r="P121" s="1116">
        <v>45.368852459016388</v>
      </c>
      <c r="R121" s="1116">
        <v>58.322824716267341</v>
      </c>
      <c r="S121" s="1116">
        <v>64.639254188434521</v>
      </c>
      <c r="T121" s="1116">
        <v>39.182129346063768</v>
      </c>
    </row>
    <row r="122" spans="1:20">
      <c r="A122" s="1116" t="s">
        <v>1254</v>
      </c>
      <c r="B122" s="1116">
        <v>1320</v>
      </c>
      <c r="C122" s="1116">
        <v>6590</v>
      </c>
      <c r="D122" s="1116">
        <v>591</v>
      </c>
      <c r="E122" s="1116">
        <v>592.77</v>
      </c>
      <c r="F122" s="1116">
        <v>255.47</v>
      </c>
      <c r="G122" s="1116">
        <v>100.29949238578679</v>
      </c>
      <c r="H122" s="1116">
        <v>232.03115825732959</v>
      </c>
      <c r="I122" s="1116">
        <v>1792</v>
      </c>
      <c r="J122" s="1116">
        <v>1964.54</v>
      </c>
      <c r="K122" s="1116">
        <v>402.27</v>
      </c>
      <c r="L122" s="1116">
        <v>109.62834821428571</v>
      </c>
      <c r="M122" s="1116">
        <v>488.36353692793398</v>
      </c>
      <c r="N122" s="1116">
        <v>62.18434343434344</v>
      </c>
      <c r="O122" s="1116">
        <v>62.37058080808081</v>
      </c>
      <c r="P122" s="1116">
        <v>53.760521885521882</v>
      </c>
      <c r="R122" s="1116">
        <v>62.160062160062154</v>
      </c>
      <c r="S122" s="1116">
        <v>68.145049395049398</v>
      </c>
      <c r="T122" s="1116">
        <v>27.907509157509157</v>
      </c>
    </row>
    <row r="123" spans="1:20">
      <c r="A123" s="1116" t="s">
        <v>1255</v>
      </c>
      <c r="B123" s="1116">
        <v>527</v>
      </c>
      <c r="C123" s="1116">
        <v>2960</v>
      </c>
      <c r="D123" s="1116">
        <v>236</v>
      </c>
      <c r="E123" s="1116">
        <v>311.17</v>
      </c>
      <c r="F123" s="1116">
        <v>232.45</v>
      </c>
      <c r="G123" s="1116">
        <v>131.85169491525426</v>
      </c>
      <c r="H123" s="1116">
        <v>133.86534738653478</v>
      </c>
      <c r="I123" s="1116">
        <v>731</v>
      </c>
      <c r="J123" s="1116">
        <v>908.81</v>
      </c>
      <c r="K123" s="1116">
        <v>752.07</v>
      </c>
      <c r="L123" s="1116">
        <v>124.3235294117647</v>
      </c>
      <c r="M123" s="1116">
        <v>120.84048027444254</v>
      </c>
    </row>
    <row r="124" spans="1:20">
      <c r="A124" s="1116" t="s">
        <v>525</v>
      </c>
      <c r="B124" s="1116">
        <v>3640</v>
      </c>
      <c r="C124" s="1116">
        <v>20400</v>
      </c>
      <c r="D124" s="1116">
        <v>1495</v>
      </c>
      <c r="E124" s="1116">
        <v>2104.9499999999998</v>
      </c>
      <c r="F124" s="1116">
        <v>1727.58</v>
      </c>
      <c r="G124" s="1116">
        <v>140.79933110367892</v>
      </c>
      <c r="H124" s="1116">
        <v>121.84385093599137</v>
      </c>
      <c r="I124" s="1116">
        <v>4896</v>
      </c>
      <c r="J124" s="1116">
        <v>5941.32</v>
      </c>
      <c r="K124" s="1116">
        <v>5163.97</v>
      </c>
      <c r="L124" s="1116">
        <v>121.3504901960784</v>
      </c>
      <c r="M124" s="1116">
        <v>115.05334074365263</v>
      </c>
      <c r="N124" s="1116">
        <v>57.043650793650805</v>
      </c>
      <c r="O124" s="1116">
        <v>86.842908249158228</v>
      </c>
      <c r="P124" s="1116">
        <v>69.451412114455607</v>
      </c>
      <c r="R124" s="1116">
        <v>61.586764883468184</v>
      </c>
      <c r="S124" s="1116">
        <v>77.110216172716193</v>
      </c>
      <c r="T124" s="1116">
        <v>67.120560598821442</v>
      </c>
    </row>
    <row r="125" spans="1:20">
      <c r="A125" s="1116" t="s">
        <v>1256</v>
      </c>
      <c r="B125" s="1116">
        <v>1320</v>
      </c>
      <c r="C125" s="1116">
        <v>6400</v>
      </c>
      <c r="D125" s="1116">
        <v>493</v>
      </c>
      <c r="E125" s="1116">
        <v>429.13</v>
      </c>
      <c r="F125" s="1116">
        <v>417.48</v>
      </c>
      <c r="G125" s="1116">
        <v>87.04462474645031</v>
      </c>
      <c r="H125" s="1116">
        <v>102.79055284085466</v>
      </c>
      <c r="I125" s="1116">
        <v>1495</v>
      </c>
      <c r="J125" s="1116">
        <v>1242.8699999999999</v>
      </c>
      <c r="K125" s="1116">
        <v>1166.58</v>
      </c>
      <c r="L125" s="1116">
        <v>83.135117056856174</v>
      </c>
      <c r="M125" s="1116">
        <v>106.53962865812889</v>
      </c>
      <c r="N125" s="1116">
        <v>51.872895622895619</v>
      </c>
      <c r="O125" s="1116">
        <v>88.390151515151501</v>
      </c>
      <c r="P125" s="1116">
        <v>87.853535353535364</v>
      </c>
      <c r="R125" s="1116">
        <v>51.857864357864358</v>
      </c>
      <c r="S125" s="1116">
        <v>85.592879342879343</v>
      </c>
      <c r="T125" s="1116">
        <v>80.931568431568436</v>
      </c>
    </row>
    <row r="126" spans="1:20">
      <c r="A126" s="1116" t="s">
        <v>1257</v>
      </c>
      <c r="B126" s="1116">
        <v>500</v>
      </c>
      <c r="C126" s="1116">
        <v>3850</v>
      </c>
      <c r="D126" s="1116">
        <v>239</v>
      </c>
      <c r="E126" s="1116">
        <v>279.67</v>
      </c>
      <c r="F126" s="1116">
        <v>276</v>
      </c>
      <c r="G126" s="1116">
        <v>117.01673640167365</v>
      </c>
      <c r="H126" s="1116">
        <v>101.32971014492753</v>
      </c>
      <c r="I126" s="1116">
        <v>891</v>
      </c>
      <c r="J126" s="1116">
        <v>924.68</v>
      </c>
      <c r="K126" s="1116">
        <v>523.32000000000005</v>
      </c>
      <c r="L126" s="1116">
        <v>103.78002244668912</v>
      </c>
      <c r="M126" s="1116">
        <v>176.69494764197816</v>
      </c>
      <c r="N126" s="1116">
        <v>44.25925925925926</v>
      </c>
      <c r="O126" s="1116">
        <v>77.686111111111117</v>
      </c>
      <c r="P126" s="1116">
        <v>76.666666666666671</v>
      </c>
      <c r="R126" s="1116">
        <v>61.111111111111107</v>
      </c>
      <c r="S126" s="1116">
        <v>84.677655677655679</v>
      </c>
      <c r="T126" s="1116">
        <v>47.92307692307692</v>
      </c>
    </row>
    <row r="127" spans="1:20">
      <c r="A127" s="1116" t="s">
        <v>1132</v>
      </c>
      <c r="B127" s="1116">
        <v>1500</v>
      </c>
      <c r="C127" s="1116">
        <v>8000</v>
      </c>
      <c r="D127" s="1116">
        <v>730</v>
      </c>
      <c r="E127" s="1116">
        <v>656.61</v>
      </c>
      <c r="F127" s="1116">
        <v>157.02000000000001</v>
      </c>
      <c r="G127" s="1116">
        <v>89.946575342465749</v>
      </c>
      <c r="H127" s="1116">
        <v>418.16965991593429</v>
      </c>
      <c r="I127" s="1116">
        <v>2215</v>
      </c>
      <c r="J127" s="1116">
        <v>1982.25</v>
      </c>
      <c r="K127" s="1116">
        <v>525.09</v>
      </c>
      <c r="L127" s="1116">
        <v>89.491873589164783</v>
      </c>
      <c r="M127" s="1116">
        <v>377.50576091717608</v>
      </c>
      <c r="N127" s="1116">
        <v>67.592592592592595</v>
      </c>
      <c r="O127" s="1116">
        <v>60.797222222222224</v>
      </c>
      <c r="P127" s="1116">
        <v>14.538888888888888</v>
      </c>
      <c r="R127" s="1116">
        <v>67.612942612942618</v>
      </c>
      <c r="S127" s="1116">
        <v>60.508089133089129</v>
      </c>
      <c r="T127" s="1116">
        <v>16.028388278388281</v>
      </c>
    </row>
    <row r="128" spans="1:20">
      <c r="A128" s="1116" t="s">
        <v>1258</v>
      </c>
      <c r="B128" s="1116">
        <v>50667.229999999996</v>
      </c>
      <c r="C128" s="1116">
        <v>253450</v>
      </c>
      <c r="D128" s="1116">
        <v>19820</v>
      </c>
      <c r="E128" s="1116">
        <v>21512.87</v>
      </c>
      <c r="F128" s="1116">
        <v>19731.490000000002</v>
      </c>
      <c r="G128" s="1116">
        <v>108.54122098890006</v>
      </c>
      <c r="H128" s="1116">
        <v>109.02810684849445</v>
      </c>
      <c r="I128" s="1116">
        <v>61446</v>
      </c>
      <c r="J128" s="1116">
        <v>70412.160000000003</v>
      </c>
      <c r="K128" s="1116">
        <v>58632.43</v>
      </c>
      <c r="L128" s="1116">
        <v>114.59193438140804</v>
      </c>
      <c r="M128" s="1116">
        <v>120.09080981293117</v>
      </c>
      <c r="N128" s="1116">
        <v>55.452611351314253</v>
      </c>
      <c r="O128" s="1116">
        <v>65.464567028847853</v>
      </c>
      <c r="P128" s="1116">
        <v>60.807232753464902</v>
      </c>
      <c r="R128" s="1116">
        <v>57.275838107350509</v>
      </c>
      <c r="S128" s="1116">
        <v>69.839181687997325</v>
      </c>
      <c r="T128" s="1116">
        <v>59.566875319859179</v>
      </c>
    </row>
    <row r="129" spans="1:20">
      <c r="A129" s="1116" t="s">
        <v>1259</v>
      </c>
      <c r="B129" s="1116">
        <v>1000</v>
      </c>
      <c r="C129" s="1116">
        <v>5600</v>
      </c>
      <c r="D129" s="1116">
        <v>311</v>
      </c>
      <c r="E129" s="1116">
        <v>377.34</v>
      </c>
      <c r="F129" s="1116">
        <v>486.48</v>
      </c>
      <c r="G129" s="1116">
        <v>121.33118971061094</v>
      </c>
      <c r="H129" s="1116">
        <v>77.565367538233843</v>
      </c>
      <c r="I129" s="1116">
        <v>1306</v>
      </c>
      <c r="J129" s="1116">
        <v>1326.95</v>
      </c>
      <c r="K129" s="1116">
        <v>1312.94</v>
      </c>
      <c r="L129" s="1116">
        <v>101.6042879019908</v>
      </c>
      <c r="M129" s="1116">
        <v>101.06722317851539</v>
      </c>
      <c r="N129" s="1116">
        <v>43.194444444444443</v>
      </c>
      <c r="O129" s="1116">
        <v>52.408333333333331</v>
      </c>
      <c r="P129" s="1116">
        <v>67.566666666666663</v>
      </c>
      <c r="R129" s="1116">
        <v>59.798534798534796</v>
      </c>
      <c r="S129" s="1116">
        <v>60.757875457875464</v>
      </c>
      <c r="T129" s="1116">
        <v>60.116300366300365</v>
      </c>
    </row>
    <row r="130" spans="1:20">
      <c r="A130" s="1116" t="s">
        <v>1260</v>
      </c>
      <c r="B130" s="1116">
        <v>0</v>
      </c>
      <c r="C130" s="1116">
        <v>1000</v>
      </c>
      <c r="D130" s="1116">
        <v>89</v>
      </c>
      <c r="E130" s="1116" t="s">
        <v>1592</v>
      </c>
      <c r="F130" s="1116" t="s">
        <v>1592</v>
      </c>
      <c r="G130" s="1116" t="s">
        <v>1592</v>
      </c>
      <c r="H130" s="1116" t="s">
        <v>1592</v>
      </c>
      <c r="I130" s="1116">
        <v>184</v>
      </c>
      <c r="J130" s="1116">
        <v>0</v>
      </c>
      <c r="K130" s="1116">
        <v>0</v>
      </c>
      <c r="L130" s="1116">
        <v>0</v>
      </c>
      <c r="M130" s="1116">
        <v>0</v>
      </c>
      <c r="N130" s="1116">
        <v>0</v>
      </c>
      <c r="O130" s="1116">
        <v>0</v>
      </c>
      <c r="P130" s="1116">
        <v>0</v>
      </c>
      <c r="R130" s="1116">
        <v>0</v>
      </c>
      <c r="S130" s="1116">
        <v>0</v>
      </c>
      <c r="T130" s="1116">
        <v>0</v>
      </c>
    </row>
    <row r="131" spans="1:20">
      <c r="A131" s="1116" t="s">
        <v>1261</v>
      </c>
      <c r="B131" s="1116">
        <v>726.6</v>
      </c>
      <c r="C131" s="1116">
        <v>5000</v>
      </c>
      <c r="D131" s="1116">
        <v>431</v>
      </c>
      <c r="E131" s="1116">
        <v>243.99</v>
      </c>
      <c r="F131" s="1116">
        <v>405.22</v>
      </c>
      <c r="G131" s="1116">
        <v>56.610208816705345</v>
      </c>
      <c r="H131" s="1116">
        <v>60.211736834312227</v>
      </c>
      <c r="I131" s="1116">
        <v>1105</v>
      </c>
      <c r="J131" s="1116">
        <v>574.14</v>
      </c>
      <c r="K131" s="1116">
        <v>1270.6300000000001</v>
      </c>
      <c r="L131" s="1116">
        <v>51.958371040723982</v>
      </c>
      <c r="M131" s="1116">
        <v>45.185459181665784</v>
      </c>
    </row>
    <row r="132" spans="1:20">
      <c r="A132" s="1116" t="s">
        <v>659</v>
      </c>
      <c r="B132" s="1116">
        <v>1967.08</v>
      </c>
      <c r="C132" s="1116">
        <v>3020</v>
      </c>
      <c r="D132" s="1116">
        <v>245</v>
      </c>
      <c r="E132" s="1116">
        <v>324.06</v>
      </c>
      <c r="F132" s="1116">
        <v>204.46</v>
      </c>
      <c r="G132" s="1116">
        <v>132.26938775510203</v>
      </c>
      <c r="H132" s="1116">
        <v>158.49554925168738</v>
      </c>
      <c r="I132" s="1116">
        <v>727</v>
      </c>
      <c r="J132" s="1116">
        <v>984.56</v>
      </c>
      <c r="K132" s="1116">
        <v>547.44000000000005</v>
      </c>
      <c r="L132" s="1116">
        <v>135.42751031636863</v>
      </c>
      <c r="M132" s="1116">
        <v>179.84765453748355</v>
      </c>
    </row>
    <row r="133" spans="1:20">
      <c r="A133" s="1116" t="s">
        <v>8</v>
      </c>
      <c r="B133" s="1116">
        <v>72777.91</v>
      </c>
      <c r="C133" s="1116">
        <v>366595</v>
      </c>
      <c r="D133" s="1116">
        <v>28825</v>
      </c>
      <c r="E133" s="1116">
        <v>31401.360000000001</v>
      </c>
      <c r="F133" s="1116">
        <v>27311.49</v>
      </c>
      <c r="G133" s="1116">
        <v>108.93793581960105</v>
      </c>
      <c r="H133" s="1116">
        <v>114.97490616586646</v>
      </c>
      <c r="I133" s="1116">
        <v>89238</v>
      </c>
      <c r="J133" s="1116">
        <v>100441.15</v>
      </c>
      <c r="K133" s="1116">
        <v>78648.399999999994</v>
      </c>
      <c r="L133" s="1116">
        <v>112.55424034604088</v>
      </c>
      <c r="M133" s="1116">
        <v>127.70908626240323</v>
      </c>
      <c r="N133" s="1116">
        <v>55.8163414991932</v>
      </c>
      <c r="O133" s="1116">
        <v>66.429873613384245</v>
      </c>
      <c r="P133" s="1116">
        <v>58.500273786984444</v>
      </c>
      <c r="R133" s="1116">
        <v>57.702523348240895</v>
      </c>
      <c r="S133" s="1116">
        <v>69.593338948424787</v>
      </c>
      <c r="T133" s="1116">
        <v>55.267947402302568</v>
      </c>
    </row>
    <row r="135" spans="1:20">
      <c r="A135" s="1116" t="s">
        <v>474</v>
      </c>
      <c r="B135" s="1116">
        <v>74374.862999999998</v>
      </c>
      <c r="C135" s="1116">
        <v>388240</v>
      </c>
      <c r="D135" s="1116">
        <v>31534</v>
      </c>
      <c r="E135" s="1116">
        <v>22677.23</v>
      </c>
      <c r="F135" s="1116">
        <v>20972.46</v>
      </c>
      <c r="G135" s="1116">
        <v>71.913585336462233</v>
      </c>
      <c r="H135" s="1116">
        <v>108.12861247559893</v>
      </c>
      <c r="I135" s="1116">
        <v>97602</v>
      </c>
      <c r="J135" s="1116">
        <v>77368.600000000006</v>
      </c>
      <c r="K135" s="1116">
        <v>60990.68</v>
      </c>
      <c r="L135" s="1116">
        <v>79.269482182742166</v>
      </c>
      <c r="M135" s="1116">
        <v>126.85315198977942</v>
      </c>
      <c r="N135" s="1116">
        <v>58.981408899842833</v>
      </c>
      <c r="O135" s="1116">
        <v>44.603037915947993</v>
      </c>
      <c r="P135" s="1116">
        <v>39.727570133190568</v>
      </c>
      <c r="R135" s="1116">
        <v>60.919412292296357</v>
      </c>
      <c r="S135" s="1116">
        <v>50.079366754225575</v>
      </c>
      <c r="T135" s="1116">
        <v>37.845629830393023</v>
      </c>
    </row>
    <row r="136" spans="1:20">
      <c r="A136" s="1116" t="s">
        <v>1262</v>
      </c>
      <c r="B136" s="1116">
        <v>2917</v>
      </c>
      <c r="C136" s="1116">
        <v>17485</v>
      </c>
      <c r="D136" s="1116">
        <v>1502</v>
      </c>
      <c r="E136" s="1116">
        <v>1318.77</v>
      </c>
      <c r="F136" s="1116">
        <v>1237.18</v>
      </c>
      <c r="G136" s="1116">
        <v>87.800932090545942</v>
      </c>
      <c r="H136" s="1116">
        <v>106.59483664462729</v>
      </c>
      <c r="I136" s="1116">
        <v>4545</v>
      </c>
      <c r="J136" s="1116">
        <v>4484.74</v>
      </c>
      <c r="K136" s="1116">
        <v>3512.9</v>
      </c>
      <c r="L136" s="1116">
        <v>98.674059405940568</v>
      </c>
      <c r="M136" s="1116">
        <v>127.66477838822622</v>
      </c>
      <c r="N136" s="1116">
        <v>71.398124467178178</v>
      </c>
      <c r="O136" s="1116">
        <v>61.402894491129778</v>
      </c>
      <c r="P136" s="1116">
        <v>56.101571063207892</v>
      </c>
      <c r="R136" s="1116">
        <v>71.182319081478752</v>
      </c>
      <c r="S136" s="1116">
        <v>70.287914496902431</v>
      </c>
      <c r="T136" s="1116">
        <v>52.450762913861205</v>
      </c>
    </row>
    <row r="137" spans="1:20">
      <c r="A137" s="1116" t="s">
        <v>1263</v>
      </c>
      <c r="B137" s="1116">
        <v>83921.945000000007</v>
      </c>
      <c r="C137" s="1116">
        <v>382880</v>
      </c>
      <c r="D137" s="1116">
        <v>30867</v>
      </c>
      <c r="E137" s="1116">
        <v>30080.77</v>
      </c>
      <c r="F137" s="1116">
        <v>28626.04</v>
      </c>
      <c r="G137" s="1116">
        <v>97.4528460815758</v>
      </c>
      <c r="H137" s="1116">
        <v>105.08184156802685</v>
      </c>
      <c r="I137" s="1116">
        <v>93734</v>
      </c>
      <c r="J137" s="1116">
        <v>94387.62</v>
      </c>
      <c r="K137" s="1116">
        <v>79694.66</v>
      </c>
      <c r="L137" s="1116">
        <v>100.69731260801842</v>
      </c>
      <c r="M137" s="1116">
        <v>118.43656651524708</v>
      </c>
      <c r="N137" s="1116">
        <v>56.098799588912705</v>
      </c>
      <c r="O137" s="1116">
        <v>54.68241400545439</v>
      </c>
      <c r="P137" s="1116">
        <v>51.754341059873866</v>
      </c>
      <c r="R137" s="1116">
        <v>56.166652309544332</v>
      </c>
      <c r="S137" s="1116">
        <v>56.70132553988725</v>
      </c>
      <c r="T137" s="1116">
        <v>47.452911346350596</v>
      </c>
    </row>
    <row r="138" spans="1:20">
      <c r="A138" s="1116" t="s">
        <v>1264</v>
      </c>
      <c r="B138" s="1116">
        <v>233991.71799999999</v>
      </c>
      <c r="C138" s="1116">
        <v>1155200</v>
      </c>
      <c r="D138" s="1116">
        <v>92728</v>
      </c>
      <c r="E138" s="1116">
        <v>85478.13</v>
      </c>
      <c r="F138" s="1116">
        <v>78147.17</v>
      </c>
      <c r="G138" s="1116">
        <v>92.18157406608573</v>
      </c>
      <c r="H138" s="1116">
        <v>109.38096670679182</v>
      </c>
      <c r="I138" s="1116">
        <v>285119</v>
      </c>
      <c r="J138" s="1116">
        <v>276682.11</v>
      </c>
      <c r="K138" s="1116">
        <v>222846.64</v>
      </c>
      <c r="L138" s="1116">
        <v>97.040922562158215</v>
      </c>
      <c r="M138" s="1116">
        <v>124.15807929614735</v>
      </c>
      <c r="N138" s="1116">
        <v>57.151108893453141</v>
      </c>
      <c r="O138" s="1116">
        <v>55.051628755332452</v>
      </c>
      <c r="P138" s="1116">
        <v>49.881817919087048</v>
      </c>
      <c r="R138" s="1116">
        <v>58.398176843246176</v>
      </c>
      <c r="S138" s="1116">
        <v>58.639295638075531</v>
      </c>
      <c r="T138" s="1116">
        <v>46.697313590126036</v>
      </c>
    </row>
    <row r="139" spans="1:20">
      <c r="A139" s="1116" t="s">
        <v>754</v>
      </c>
    </row>
    <row r="140" spans="1:20">
      <c r="A140" s="1116" t="s">
        <v>8</v>
      </c>
    </row>
    <row r="141" spans="1:20">
      <c r="A141" s="1116" t="s">
        <v>1265</v>
      </c>
      <c r="B141" s="1116">
        <v>100</v>
      </c>
      <c r="C141" s="1116">
        <v>0</v>
      </c>
      <c r="D141" s="1116">
        <v>0</v>
      </c>
      <c r="E141" s="1116">
        <v>0</v>
      </c>
      <c r="F141" s="1116">
        <v>0</v>
      </c>
      <c r="G141" s="1116">
        <v>0</v>
      </c>
      <c r="H141" s="1116">
        <v>0</v>
      </c>
      <c r="I141" s="1116">
        <v>0</v>
      </c>
      <c r="J141" s="1116">
        <v>0</v>
      </c>
      <c r="K141" s="1116">
        <v>0</v>
      </c>
      <c r="L141" s="1116">
        <v>0</v>
      </c>
      <c r="M141" s="1116">
        <v>0</v>
      </c>
      <c r="N141" s="1116">
        <v>0</v>
      </c>
      <c r="O141" s="1116">
        <v>0</v>
      </c>
      <c r="P141" s="1116">
        <v>0</v>
      </c>
      <c r="R141" s="1116">
        <v>0</v>
      </c>
      <c r="S141" s="1116">
        <v>0</v>
      </c>
      <c r="T141" s="1116">
        <v>0</v>
      </c>
    </row>
    <row r="142" spans="1:20">
      <c r="A142" s="1116" t="s">
        <v>133</v>
      </c>
      <c r="B142" s="1116">
        <v>6680</v>
      </c>
      <c r="C142" s="1116">
        <v>43020</v>
      </c>
      <c r="D142" s="1116">
        <v>3623</v>
      </c>
      <c r="E142" s="1116">
        <v>3793.48</v>
      </c>
      <c r="F142" s="1116">
        <v>3764.73</v>
      </c>
      <c r="G142" s="1116">
        <v>104.70549268561966</v>
      </c>
      <c r="H142" s="1116">
        <v>100.76361345243168</v>
      </c>
      <c r="I142" s="1116">
        <v>11186</v>
      </c>
      <c r="J142" s="1116">
        <v>11157.37</v>
      </c>
      <c r="K142" s="1116">
        <v>11422.35</v>
      </c>
      <c r="L142" s="1116">
        <v>99.744019309851595</v>
      </c>
      <c r="M142" s="1116">
        <v>97.680127119200506</v>
      </c>
      <c r="N142" s="1116">
        <v>68.1835290575128</v>
      </c>
      <c r="O142" s="1116">
        <v>78.873087159015299</v>
      </c>
      <c r="P142" s="1116">
        <v>78.2753243512974</v>
      </c>
      <c r="R142" s="1116">
        <v>69.401014522965738</v>
      </c>
      <c r="S142" s="1116">
        <v>76.477306376258468</v>
      </c>
      <c r="T142" s="1116">
        <v>78.293577679805239</v>
      </c>
    </row>
    <row r="143" spans="1:20">
      <c r="A143" s="1116" t="s">
        <v>8</v>
      </c>
      <c r="B143" s="1116">
        <v>6780</v>
      </c>
      <c r="C143" s="1116">
        <v>43020</v>
      </c>
      <c r="D143" s="1116">
        <v>3623</v>
      </c>
      <c r="E143" s="1116">
        <v>3793.48</v>
      </c>
      <c r="F143" s="1116">
        <v>3764.73</v>
      </c>
      <c r="G143" s="1116">
        <v>104.70549268561965</v>
      </c>
      <c r="H143" s="1116">
        <v>100.76361345243166</v>
      </c>
      <c r="I143" s="1116">
        <v>11186</v>
      </c>
      <c r="J143" s="1116">
        <v>11157.37</v>
      </c>
      <c r="K143" s="1116">
        <v>11422.35</v>
      </c>
      <c r="L143" s="1116">
        <v>99.744019309851581</v>
      </c>
      <c r="M143" s="1116">
        <v>97.680127119200506</v>
      </c>
      <c r="N143" s="1116">
        <v>68.1835290575128</v>
      </c>
      <c r="O143" s="1116">
        <v>77.709767289413307</v>
      </c>
      <c r="P143" s="1116">
        <v>77.120821042281221</v>
      </c>
      <c r="R143" s="1116">
        <v>69.401014522965738</v>
      </c>
      <c r="S143" s="1116">
        <v>75.349322506402132</v>
      </c>
      <c r="T143" s="1116">
        <v>77.138805147654708</v>
      </c>
    </row>
    <row r="145" spans="1:20">
      <c r="A145" s="1116" t="s">
        <v>1266</v>
      </c>
      <c r="B145" s="1116">
        <v>6780</v>
      </c>
      <c r="C145" s="1116">
        <v>43020</v>
      </c>
      <c r="D145" s="1116">
        <v>3623</v>
      </c>
      <c r="E145" s="1116">
        <v>3793.48</v>
      </c>
      <c r="F145" s="1116">
        <v>3764.73</v>
      </c>
      <c r="G145" s="1116">
        <v>104.70549268561965</v>
      </c>
      <c r="H145" s="1116">
        <v>100.76361345243166</v>
      </c>
      <c r="I145" s="1116">
        <v>11186</v>
      </c>
      <c r="J145" s="1116">
        <v>11157.37</v>
      </c>
      <c r="K145" s="1116">
        <v>11422.35</v>
      </c>
      <c r="L145" s="1116">
        <v>99.744019309851581</v>
      </c>
      <c r="M145" s="1116">
        <v>97.680127119200506</v>
      </c>
      <c r="N145" s="1116">
        <v>68.1835290575128</v>
      </c>
      <c r="O145" s="1116">
        <v>77.709767289413307</v>
      </c>
      <c r="P145" s="1116">
        <v>77.120821042281221</v>
      </c>
      <c r="R145" s="1116">
        <v>69.401014522965738</v>
      </c>
      <c r="S145" s="1116">
        <v>75.349322506402132</v>
      </c>
      <c r="T145" s="1116">
        <v>77.138805147654708</v>
      </c>
    </row>
    <row r="146" spans="1:20">
      <c r="A146" s="1116" t="s">
        <v>753</v>
      </c>
    </row>
    <row r="147" spans="1:20">
      <c r="A147" s="1116" t="s">
        <v>8</v>
      </c>
    </row>
    <row r="148" spans="1:20">
      <c r="A148" s="1116" t="s">
        <v>1267</v>
      </c>
      <c r="B148" s="1116">
        <v>2920.3</v>
      </c>
      <c r="C148" s="1116">
        <v>9650</v>
      </c>
      <c r="D148" s="1116">
        <v>1099</v>
      </c>
      <c r="E148" s="1116">
        <v>1021.01</v>
      </c>
      <c r="F148" s="1116">
        <v>1260.99</v>
      </c>
      <c r="G148" s="1116">
        <v>92.903548680618741</v>
      </c>
      <c r="H148" s="1116">
        <v>80.968921244419079</v>
      </c>
      <c r="I148" s="1116">
        <v>2554</v>
      </c>
      <c r="J148" s="1116">
        <v>2215.11</v>
      </c>
      <c r="K148" s="1116">
        <v>3326.47</v>
      </c>
      <c r="L148" s="1116">
        <v>86.731010180109635</v>
      </c>
      <c r="M148" s="1116">
        <v>66.590409653476513</v>
      </c>
      <c r="N148" s="1116" t="s">
        <v>1584</v>
      </c>
      <c r="O148" s="1116" t="s">
        <v>1584</v>
      </c>
      <c r="P148" s="1116" t="s">
        <v>1584</v>
      </c>
      <c r="R148" s="1116" t="s">
        <v>1584</v>
      </c>
      <c r="S148" s="1116" t="s">
        <v>1584</v>
      </c>
      <c r="T148" s="1116" t="s">
        <v>1584</v>
      </c>
    </row>
    <row r="149" spans="1:20">
      <c r="A149" s="1116" t="s">
        <v>9</v>
      </c>
      <c r="B149" s="1116">
        <v>143.19999999999999</v>
      </c>
      <c r="C149" s="1116">
        <v>215</v>
      </c>
      <c r="D149" s="1116">
        <v>7</v>
      </c>
      <c r="E149" s="1116">
        <v>61.2</v>
      </c>
      <c r="F149" s="1116">
        <v>36.020000000000003</v>
      </c>
      <c r="G149" s="1116">
        <v>874.28571428571422</v>
      </c>
      <c r="H149" s="1116">
        <v>169.905607995558</v>
      </c>
      <c r="I149" s="1116">
        <v>22</v>
      </c>
      <c r="J149" s="1116">
        <v>89.42</v>
      </c>
      <c r="K149" s="1116">
        <v>69.7</v>
      </c>
      <c r="L149" s="1116">
        <v>406.45909090909089</v>
      </c>
      <c r="M149" s="1116">
        <v>128.29411764705881</v>
      </c>
      <c r="N149" s="1116" t="s">
        <v>1584</v>
      </c>
      <c r="O149" s="1116" t="s">
        <v>1584</v>
      </c>
      <c r="P149" s="1116" t="s">
        <v>1584</v>
      </c>
      <c r="R149" s="1116" t="s">
        <v>1584</v>
      </c>
      <c r="S149" s="1116" t="s">
        <v>1584</v>
      </c>
      <c r="T149" s="1116" t="s">
        <v>1584</v>
      </c>
    </row>
    <row r="150" spans="1:20">
      <c r="A150" s="1116" t="s">
        <v>1255</v>
      </c>
      <c r="B150" s="1116">
        <v>1500</v>
      </c>
      <c r="C150" s="1116">
        <v>4908</v>
      </c>
      <c r="D150" s="1116">
        <v>589</v>
      </c>
      <c r="E150" s="1116">
        <v>546.34</v>
      </c>
      <c r="F150" s="1116">
        <v>429.96</v>
      </c>
      <c r="G150" s="1116">
        <v>92.757215619694406</v>
      </c>
      <c r="H150" s="1116">
        <v>127.06763419853011</v>
      </c>
      <c r="I150" s="1116">
        <v>1284</v>
      </c>
      <c r="J150" s="1116">
        <v>1103.29</v>
      </c>
      <c r="K150" s="1116">
        <v>777.37</v>
      </c>
      <c r="L150" s="1116">
        <v>85.925856697819313</v>
      </c>
      <c r="M150" s="1116">
        <v>141.92572391525272</v>
      </c>
      <c r="N150" s="1116" t="s">
        <v>1584</v>
      </c>
      <c r="O150" s="1116" t="s">
        <v>1584</v>
      </c>
      <c r="P150" s="1116" t="s">
        <v>1584</v>
      </c>
      <c r="R150" s="1116" t="s">
        <v>1584</v>
      </c>
      <c r="S150" s="1116" t="s">
        <v>1584</v>
      </c>
      <c r="T150" s="1116" t="s">
        <v>1584</v>
      </c>
    </row>
    <row r="151" spans="1:20">
      <c r="A151" s="1116" t="s">
        <v>1268</v>
      </c>
      <c r="B151" s="1116">
        <v>1520</v>
      </c>
      <c r="C151" s="1116">
        <v>3900</v>
      </c>
      <c r="D151" s="1116">
        <v>164</v>
      </c>
      <c r="E151" s="1116">
        <v>318.13</v>
      </c>
      <c r="F151" s="1116">
        <v>482.99</v>
      </c>
      <c r="G151" s="1116">
        <v>193.98170731707316</v>
      </c>
      <c r="H151" s="1116">
        <v>65.866788132259472</v>
      </c>
      <c r="I151" s="1116">
        <v>616</v>
      </c>
      <c r="J151" s="1116">
        <v>915.84</v>
      </c>
      <c r="K151" s="1116">
        <v>1014.76</v>
      </c>
      <c r="L151" s="1116">
        <v>148.67516233766233</v>
      </c>
      <c r="M151" s="1116">
        <v>90.25178367298669</v>
      </c>
      <c r="N151" s="1116" t="s">
        <v>1584</v>
      </c>
      <c r="O151" s="1116" t="s">
        <v>1584</v>
      </c>
      <c r="P151" s="1116" t="s">
        <v>1584</v>
      </c>
      <c r="R151" s="1116" t="s">
        <v>1584</v>
      </c>
      <c r="S151" s="1116" t="s">
        <v>1584</v>
      </c>
      <c r="T151" s="1116" t="s">
        <v>1584</v>
      </c>
    </row>
    <row r="152" spans="1:20">
      <c r="A152" s="1116" t="s">
        <v>1269</v>
      </c>
      <c r="B152" s="1116">
        <v>5451.2000000000007</v>
      </c>
      <c r="C152" s="1116">
        <v>26000</v>
      </c>
      <c r="D152" s="1116">
        <v>3219</v>
      </c>
      <c r="E152" s="1116">
        <v>3020.04</v>
      </c>
      <c r="F152" s="1116">
        <v>3167.16</v>
      </c>
      <c r="G152" s="1116">
        <v>93.819198508853702</v>
      </c>
      <c r="H152" s="1116">
        <v>95.354828931913787</v>
      </c>
      <c r="I152" s="1116">
        <v>8303</v>
      </c>
      <c r="J152" s="1116">
        <v>7191.9</v>
      </c>
      <c r="K152" s="1116">
        <v>8065.43</v>
      </c>
      <c r="L152" s="1116">
        <v>86.618138022401553</v>
      </c>
      <c r="M152" s="1116">
        <v>89.169504911703427</v>
      </c>
      <c r="N152" s="1116" t="s">
        <v>1584</v>
      </c>
      <c r="O152" s="1116" t="s">
        <v>1584</v>
      </c>
      <c r="P152" s="1116" t="s">
        <v>1584</v>
      </c>
      <c r="R152" s="1116" t="s">
        <v>1584</v>
      </c>
      <c r="S152" s="1116" t="s">
        <v>1584</v>
      </c>
      <c r="T152" s="1116" t="s">
        <v>1584</v>
      </c>
    </row>
    <row r="153" spans="1:20">
      <c r="A153" s="1116" t="s">
        <v>1258</v>
      </c>
      <c r="B153" s="1116">
        <v>800</v>
      </c>
      <c r="C153" s="1116">
        <v>3100</v>
      </c>
      <c r="D153" s="1116">
        <v>530</v>
      </c>
      <c r="E153" s="1116">
        <v>433</v>
      </c>
      <c r="F153" s="1116">
        <v>517.58000000000004</v>
      </c>
      <c r="G153" s="1116">
        <v>81.698113207547181</v>
      </c>
      <c r="H153" s="1116">
        <v>83.658564859538643</v>
      </c>
      <c r="I153" s="1116">
        <v>989</v>
      </c>
      <c r="J153" s="1116">
        <v>722.06</v>
      </c>
      <c r="K153" s="1116">
        <v>939.08</v>
      </c>
      <c r="L153" s="1116">
        <v>73.009100101112239</v>
      </c>
      <c r="M153" s="1116">
        <v>76.890147804233933</v>
      </c>
      <c r="N153" s="1116" t="s">
        <v>1584</v>
      </c>
      <c r="O153" s="1116" t="s">
        <v>1584</v>
      </c>
      <c r="P153" s="1116" t="s">
        <v>1584</v>
      </c>
      <c r="R153" s="1116" t="s">
        <v>1584</v>
      </c>
      <c r="S153" s="1116" t="s">
        <v>1584</v>
      </c>
      <c r="T153" s="1116" t="s">
        <v>1584</v>
      </c>
    </row>
    <row r="154" spans="1:20">
      <c r="A154" s="1116" t="s">
        <v>136</v>
      </c>
      <c r="B154" s="1116">
        <v>1912.02</v>
      </c>
      <c r="C154" s="1116">
        <v>9111</v>
      </c>
      <c r="D154" s="1116">
        <v>1420</v>
      </c>
      <c r="E154" s="1116">
        <v>1369.56</v>
      </c>
      <c r="F154" s="1116">
        <v>1388.36</v>
      </c>
      <c r="G154" s="1116">
        <v>96.447887323943661</v>
      </c>
      <c r="H154" s="1116">
        <v>98.645884352761513</v>
      </c>
      <c r="I154" s="1116">
        <v>3092</v>
      </c>
      <c r="J154" s="1116">
        <v>2390.5300000000002</v>
      </c>
      <c r="K154" s="1116">
        <v>2742.43</v>
      </c>
      <c r="L154" s="1116">
        <v>77.31335705045278</v>
      </c>
      <c r="M154" s="1116">
        <v>87.168277768256601</v>
      </c>
      <c r="N154" s="1116" t="s">
        <v>1584</v>
      </c>
      <c r="O154" s="1116" t="s">
        <v>1584</v>
      </c>
      <c r="P154" s="1116" t="s">
        <v>1584</v>
      </c>
      <c r="R154" s="1116" t="s">
        <v>1584</v>
      </c>
      <c r="S154" s="1116" t="s">
        <v>1584</v>
      </c>
      <c r="T154" s="1116" t="s">
        <v>1584</v>
      </c>
    </row>
    <row r="155" spans="1:20">
      <c r="A155" s="1116" t="s">
        <v>138</v>
      </c>
      <c r="B155" s="1116">
        <v>1400</v>
      </c>
      <c r="C155" s="1116">
        <v>4160</v>
      </c>
      <c r="D155" s="1116">
        <v>248</v>
      </c>
      <c r="E155" s="1116">
        <v>254.01</v>
      </c>
      <c r="F155" s="1116">
        <v>512.37</v>
      </c>
      <c r="G155" s="1116">
        <v>102.42338709677421</v>
      </c>
      <c r="H155" s="1116">
        <v>49.575502078576044</v>
      </c>
      <c r="I155" s="1116">
        <v>857</v>
      </c>
      <c r="J155" s="1116">
        <v>599.07000000000005</v>
      </c>
      <c r="K155" s="1116">
        <v>1100.33</v>
      </c>
      <c r="L155" s="1116">
        <v>69.903150525087511</v>
      </c>
      <c r="M155" s="1116">
        <v>54.444575718193633</v>
      </c>
      <c r="N155" s="1116" t="s">
        <v>1584</v>
      </c>
      <c r="O155" s="1116" t="s">
        <v>1584</v>
      </c>
      <c r="P155" s="1116" t="s">
        <v>1584</v>
      </c>
      <c r="R155" s="1116" t="s">
        <v>1584</v>
      </c>
      <c r="S155" s="1116" t="s">
        <v>1584</v>
      </c>
      <c r="T155" s="1116" t="s">
        <v>1584</v>
      </c>
    </row>
    <row r="156" spans="1:20">
      <c r="A156" s="1116" t="s">
        <v>8</v>
      </c>
      <c r="B156" s="1116">
        <v>15646.720000000001</v>
      </c>
      <c r="C156" s="1116">
        <v>61044</v>
      </c>
      <c r="D156" s="1116">
        <v>7276</v>
      </c>
      <c r="E156" s="1116">
        <v>7023.29</v>
      </c>
      <c r="F156" s="1116">
        <v>7795.43</v>
      </c>
      <c r="G156" s="1116">
        <v>96.526800439802102</v>
      </c>
      <c r="H156" s="1116">
        <v>90.094965896685636</v>
      </c>
      <c r="I156" s="1116">
        <v>17717</v>
      </c>
      <c r="J156" s="1116">
        <v>15227.22</v>
      </c>
      <c r="K156" s="1116">
        <v>18035.57</v>
      </c>
      <c r="L156" s="1116">
        <v>85.946949257775032</v>
      </c>
      <c r="M156" s="1116">
        <v>84.428831470255744</v>
      </c>
      <c r="N156" s="1116" t="s">
        <v>1584</v>
      </c>
      <c r="O156" s="1116" t="s">
        <v>1584</v>
      </c>
      <c r="P156" s="1116" t="s">
        <v>1584</v>
      </c>
      <c r="R156" s="1116" t="s">
        <v>1584</v>
      </c>
      <c r="S156" s="1116" t="s">
        <v>1584</v>
      </c>
      <c r="T156" s="1116" t="s">
        <v>1584</v>
      </c>
    </row>
    <row r="158" spans="1:20">
      <c r="A158" s="1116" t="s">
        <v>474</v>
      </c>
      <c r="B158" s="1116">
        <v>27069.499999999996</v>
      </c>
      <c r="C158" s="1116">
        <v>74198</v>
      </c>
      <c r="D158" s="1116">
        <v>6164</v>
      </c>
      <c r="E158" s="1116">
        <v>7068.76</v>
      </c>
      <c r="F158" s="1116">
        <v>7118.06</v>
      </c>
      <c r="G158" s="1116">
        <v>114.6781310837119</v>
      </c>
      <c r="H158" s="1116">
        <v>99.30746531180219</v>
      </c>
      <c r="I158" s="1116">
        <v>17268</v>
      </c>
      <c r="J158" s="1116">
        <v>17434.560000000001</v>
      </c>
      <c r="K158" s="1116">
        <v>19126.37</v>
      </c>
      <c r="L158" s="1116">
        <v>100.96456451239288</v>
      </c>
      <c r="M158" s="1116">
        <v>91.15457350244715</v>
      </c>
      <c r="N158" s="1116" t="s">
        <v>1584</v>
      </c>
      <c r="O158" s="1116" t="s">
        <v>1584</v>
      </c>
      <c r="P158" s="1116" t="s">
        <v>1584</v>
      </c>
      <c r="R158" s="1116" t="s">
        <v>1584</v>
      </c>
      <c r="S158" s="1116" t="s">
        <v>1584</v>
      </c>
      <c r="T158" s="1116" t="s">
        <v>1584</v>
      </c>
    </row>
    <row r="159" spans="1:20">
      <c r="A159" s="1116" t="s">
        <v>1262</v>
      </c>
      <c r="B159" s="1116">
        <v>447</v>
      </c>
      <c r="C159" s="1116">
        <v>1470</v>
      </c>
      <c r="D159" s="1116">
        <v>126</v>
      </c>
      <c r="E159" s="1116">
        <v>129.55000000000001</v>
      </c>
      <c r="F159" s="1116">
        <v>140.26</v>
      </c>
      <c r="G159" s="1116">
        <v>102.81746031746033</v>
      </c>
      <c r="H159" s="1116">
        <v>92.361546797467625</v>
      </c>
      <c r="I159" s="1116">
        <v>386</v>
      </c>
      <c r="J159" s="1116">
        <v>379.16</v>
      </c>
      <c r="K159" s="1116">
        <v>433.87</v>
      </c>
      <c r="L159" s="1116">
        <v>98.22694300518134</v>
      </c>
      <c r="M159" s="1116">
        <v>87.3893101620301</v>
      </c>
      <c r="N159" s="1116" t="s">
        <v>1584</v>
      </c>
      <c r="O159" s="1116" t="s">
        <v>1584</v>
      </c>
      <c r="P159" s="1116" t="s">
        <v>1584</v>
      </c>
      <c r="R159" s="1116" t="s">
        <v>1584</v>
      </c>
      <c r="S159" s="1116" t="s">
        <v>1584</v>
      </c>
      <c r="T159" s="1116" t="s">
        <v>1584</v>
      </c>
    </row>
    <row r="160" spans="1:20">
      <c r="A160" s="1116" t="s">
        <v>1263</v>
      </c>
      <c r="B160" s="1116">
        <v>3046</v>
      </c>
      <c r="C160" s="1116">
        <v>12832</v>
      </c>
      <c r="D160" s="1116">
        <v>1775</v>
      </c>
      <c r="E160" s="1116">
        <v>1778.61</v>
      </c>
      <c r="F160" s="1116">
        <v>1962.07</v>
      </c>
      <c r="G160" s="1116">
        <v>100.20338028169016</v>
      </c>
      <c r="H160" s="1116">
        <v>90.649671010718279</v>
      </c>
      <c r="I160" s="1116">
        <v>3638</v>
      </c>
      <c r="J160" s="1116">
        <v>2976.89</v>
      </c>
      <c r="K160" s="1116">
        <v>3567.56</v>
      </c>
      <c r="L160" s="1116">
        <v>81.827652556349634</v>
      </c>
      <c r="M160" s="1116">
        <v>83.443305788830443</v>
      </c>
      <c r="N160" s="1116" t="s">
        <v>1584</v>
      </c>
      <c r="O160" s="1116" t="s">
        <v>1584</v>
      </c>
      <c r="P160" s="1116" t="s">
        <v>1584</v>
      </c>
      <c r="R160" s="1116" t="s">
        <v>1584</v>
      </c>
      <c r="S160" s="1116" t="s">
        <v>1584</v>
      </c>
      <c r="T160" s="1116" t="s">
        <v>1584</v>
      </c>
    </row>
    <row r="161" spans="1:20">
      <c r="A161" s="1116" t="s">
        <v>1270</v>
      </c>
      <c r="B161" s="1116">
        <v>46209.219999999994</v>
      </c>
      <c r="C161" s="1116">
        <v>149544</v>
      </c>
      <c r="D161" s="1116">
        <v>15341</v>
      </c>
      <c r="E161" s="1116">
        <v>16000.21</v>
      </c>
      <c r="F161" s="1116">
        <v>17015.82</v>
      </c>
      <c r="G161" s="1116">
        <v>104.29704712860959</v>
      </c>
      <c r="H161" s="1116">
        <v>94.031383385072473</v>
      </c>
      <c r="I161" s="1116">
        <v>39009</v>
      </c>
      <c r="J161" s="1116">
        <v>36017.83</v>
      </c>
      <c r="K161" s="1116">
        <v>41163.370000000003</v>
      </c>
      <c r="L161" s="1116">
        <v>92.332097721038721</v>
      </c>
      <c r="M161" s="1116">
        <v>87.499706656670753</v>
      </c>
      <c r="N161" s="1116" t="s">
        <v>1584</v>
      </c>
      <c r="O161" s="1116" t="s">
        <v>1584</v>
      </c>
      <c r="P161" s="1116" t="s">
        <v>1584</v>
      </c>
      <c r="R161" s="1116" t="s">
        <v>1584</v>
      </c>
      <c r="S161" s="1116" t="s">
        <v>1584</v>
      </c>
      <c r="T161" s="1116" t="s">
        <v>1584</v>
      </c>
    </row>
    <row r="162" spans="1:20">
      <c r="A162" s="1116" t="s">
        <v>1231</v>
      </c>
    </row>
    <row r="163" spans="1:20">
      <c r="A163" s="1116" t="s">
        <v>426</v>
      </c>
      <c r="B163" s="1116">
        <v>0</v>
      </c>
      <c r="C163" s="1116">
        <v>8236</v>
      </c>
      <c r="D163" s="1116">
        <v>1144</v>
      </c>
      <c r="E163" s="1116">
        <v>1145.74</v>
      </c>
      <c r="F163" s="1116">
        <v>1214.5</v>
      </c>
      <c r="G163" s="1116">
        <v>100.15209790209789</v>
      </c>
      <c r="H163" s="1116">
        <v>94.338410868670223</v>
      </c>
      <c r="I163" s="1116">
        <v>2770</v>
      </c>
      <c r="J163" s="1116">
        <v>1866.04</v>
      </c>
      <c r="K163" s="1116">
        <v>2256.5</v>
      </c>
      <c r="L163" s="1116">
        <v>67.366064981949464</v>
      </c>
      <c r="M163" s="1116">
        <v>82.696210946155546</v>
      </c>
    </row>
    <row r="164" spans="1:20">
      <c r="A164" s="1116" t="s">
        <v>1271</v>
      </c>
      <c r="B164" s="1116">
        <v>286980.93799999997</v>
      </c>
      <c r="C164" s="1116">
        <v>1356000</v>
      </c>
      <c r="D164" s="1116">
        <v>112836</v>
      </c>
      <c r="E164" s="1116">
        <v>106417.56000000001</v>
      </c>
      <c r="F164" s="1116">
        <v>100142.22</v>
      </c>
      <c r="G164" s="1116">
        <v>94.311709029033295</v>
      </c>
      <c r="H164" s="1116">
        <v>106.26642788626017</v>
      </c>
      <c r="I164" s="1116">
        <v>338084</v>
      </c>
      <c r="J164" s="1116">
        <v>325723.34999999998</v>
      </c>
      <c r="K164" s="1116">
        <v>277688.86000000004</v>
      </c>
      <c r="L164" s="1116">
        <v>96.343911572271963</v>
      </c>
      <c r="M164" s="1116">
        <v>117.29795354412127</v>
      </c>
    </row>
    <row r="165" spans="1:20">
      <c r="A165" s="1116" t="s">
        <v>1248</v>
      </c>
    </row>
    <row r="168" spans="1:20">
      <c r="A168" s="1116" t="s">
        <v>1272</v>
      </c>
    </row>
    <row r="170" spans="1:20">
      <c r="A170" s="1112" t="s">
        <v>1349</v>
      </c>
    </row>
    <row r="171" spans="1:20">
      <c r="A171" s="1116" t="s">
        <v>1273</v>
      </c>
    </row>
    <row r="172" spans="1:20">
      <c r="A172" s="1116" t="s">
        <v>1274</v>
      </c>
    </row>
    <row r="174" spans="1:20">
      <c r="A174" s="1116" t="s">
        <v>1908</v>
      </c>
    </row>
    <row r="175" spans="1:20">
      <c r="D175" s="1116" t="s">
        <v>1593</v>
      </c>
    </row>
    <row r="176" spans="1:20">
      <c r="A176" s="1116" t="s">
        <v>1275</v>
      </c>
      <c r="B176" s="1116" t="s">
        <v>1594</v>
      </c>
      <c r="C176" s="1116" t="s">
        <v>1595</v>
      </c>
      <c r="D176" s="1116" t="s">
        <v>1596</v>
      </c>
    </row>
    <row r="177" spans="1:4">
      <c r="A177" s="1116" t="s">
        <v>745</v>
      </c>
      <c r="B177" s="1116">
        <v>0</v>
      </c>
      <c r="C177" s="1116">
        <v>0</v>
      </c>
      <c r="D177" s="1116">
        <v>0</v>
      </c>
    </row>
    <row r="178" spans="1:4">
      <c r="A178" s="1116" t="s">
        <v>1276</v>
      </c>
      <c r="B178" s="1116">
        <v>0</v>
      </c>
      <c r="C178" s="1116">
        <v>15.16</v>
      </c>
      <c r="D178" s="1116">
        <v>15.16</v>
      </c>
    </row>
    <row r="179" spans="1:4">
      <c r="A179" s="1116" t="s">
        <v>746</v>
      </c>
      <c r="B179" s="1116">
        <v>0</v>
      </c>
      <c r="C179" s="1116">
        <v>15.09</v>
      </c>
      <c r="D179" s="1116">
        <v>15.09</v>
      </c>
    </row>
    <row r="180" spans="1:4">
      <c r="A180" s="1116" t="s">
        <v>45</v>
      </c>
      <c r="B180" s="1116">
        <v>0</v>
      </c>
      <c r="C180" s="1116">
        <v>0.47000000000000003</v>
      </c>
      <c r="D180" s="1116">
        <v>0.47000000000000003</v>
      </c>
    </row>
    <row r="181" spans="1:4">
      <c r="A181" s="1116" t="s">
        <v>1502</v>
      </c>
      <c r="B181" s="1116">
        <v>0</v>
      </c>
      <c r="C181" s="1116">
        <v>0</v>
      </c>
    </row>
    <row r="182" spans="1:4">
      <c r="A182" s="1116" t="s">
        <v>1277</v>
      </c>
      <c r="B182" s="1116">
        <v>0</v>
      </c>
      <c r="C182" s="1116">
        <v>0</v>
      </c>
      <c r="D182" s="1116">
        <v>0</v>
      </c>
    </row>
    <row r="183" spans="1:4">
      <c r="A183" s="1116" t="s">
        <v>46</v>
      </c>
      <c r="B183" s="1116">
        <v>0</v>
      </c>
      <c r="C183" s="1116">
        <v>94.67</v>
      </c>
      <c r="D183" s="1116">
        <v>94.67</v>
      </c>
    </row>
    <row r="184" spans="1:4">
      <c r="A184" s="1116" t="s">
        <v>47</v>
      </c>
      <c r="B184" s="1116">
        <v>990.28</v>
      </c>
      <c r="C184" s="1116">
        <v>1099.48</v>
      </c>
      <c r="D184" s="1116">
        <v>2089.7600000000002</v>
      </c>
    </row>
    <row r="185" spans="1:4">
      <c r="A185" s="1116" t="s">
        <v>747</v>
      </c>
      <c r="B185" s="1116">
        <v>0</v>
      </c>
      <c r="C185" s="1116">
        <v>258.78000000000003</v>
      </c>
      <c r="D185" s="1116">
        <v>258.78000000000003</v>
      </c>
    </row>
    <row r="186" spans="1:4">
      <c r="A186" s="1116" t="s">
        <v>748</v>
      </c>
      <c r="B186" s="1116">
        <v>0</v>
      </c>
      <c r="C186" s="1116">
        <v>19.02</v>
      </c>
      <c r="D186" s="1116">
        <v>19.02</v>
      </c>
    </row>
    <row r="187" spans="1:4">
      <c r="A187" s="1116" t="s">
        <v>749</v>
      </c>
      <c r="B187" s="1116">
        <v>990.28</v>
      </c>
      <c r="C187" s="1116">
        <v>1502.67</v>
      </c>
      <c r="D187" s="1116">
        <v>2492.9500000000003</v>
      </c>
    </row>
    <row r="188" spans="1:4">
      <c r="A188" s="1116" t="s">
        <v>715</v>
      </c>
      <c r="B188" s="1116">
        <v>0</v>
      </c>
      <c r="C188" s="1116">
        <v>14.200000000000001</v>
      </c>
      <c r="D188" s="1116">
        <v>14.200000000000001</v>
      </c>
    </row>
    <row r="189" spans="1:4">
      <c r="A189" s="1116" t="s">
        <v>48</v>
      </c>
      <c r="B189" s="1116">
        <v>2065.0079999999998</v>
      </c>
      <c r="C189" s="1116">
        <v>525.74</v>
      </c>
      <c r="D189" s="1116">
        <v>2590.7479999999996</v>
      </c>
    </row>
    <row r="190" spans="1:4">
      <c r="A190" s="1116" t="s">
        <v>49</v>
      </c>
      <c r="B190" s="1116">
        <v>526.29999999999995</v>
      </c>
      <c r="C190" s="1116">
        <v>333.26</v>
      </c>
      <c r="D190" s="1116">
        <v>859.56</v>
      </c>
    </row>
    <row r="191" spans="1:4">
      <c r="A191" s="1116" t="s">
        <v>50</v>
      </c>
      <c r="B191" s="1116">
        <v>977.4</v>
      </c>
      <c r="C191" s="1116">
        <v>193.7</v>
      </c>
      <c r="D191" s="1116">
        <v>1171.0999999999999</v>
      </c>
    </row>
    <row r="192" spans="1:4">
      <c r="A192" s="1116" t="s">
        <v>51</v>
      </c>
      <c r="B192" s="1116">
        <v>0</v>
      </c>
      <c r="C192" s="1116">
        <v>0</v>
      </c>
      <c r="D192" s="1116">
        <v>0</v>
      </c>
    </row>
    <row r="193" spans="1:4">
      <c r="A193" s="1116" t="s">
        <v>708</v>
      </c>
      <c r="B193" s="1116">
        <v>0</v>
      </c>
      <c r="C193" s="1116">
        <v>0</v>
      </c>
      <c r="D193" s="1116">
        <v>0</v>
      </c>
    </row>
    <row r="194" spans="1:4">
      <c r="A194" s="1116" t="s">
        <v>52</v>
      </c>
      <c r="B194" s="1116">
        <v>0</v>
      </c>
      <c r="C194" s="1116">
        <v>0</v>
      </c>
      <c r="D194" s="1116">
        <v>0</v>
      </c>
    </row>
    <row r="195" spans="1:4">
      <c r="A195" s="1116" t="s">
        <v>53</v>
      </c>
      <c r="B195" s="1116">
        <v>3568.7080000000001</v>
      </c>
      <c r="C195" s="1116">
        <v>1066.9000000000001</v>
      </c>
      <c r="D195" s="1116">
        <v>4635.6079999999993</v>
      </c>
    </row>
    <row r="196" spans="1:4">
      <c r="A196" s="1116" t="s">
        <v>54</v>
      </c>
      <c r="B196" s="1116">
        <v>1183.96</v>
      </c>
      <c r="C196" s="1116">
        <v>620.19000000000005</v>
      </c>
      <c r="D196" s="1116">
        <v>1804.15</v>
      </c>
    </row>
    <row r="197" spans="1:4">
      <c r="A197" s="1116" t="s">
        <v>55</v>
      </c>
      <c r="B197" s="1116">
        <v>36.9</v>
      </c>
      <c r="C197" s="1116">
        <v>524.52</v>
      </c>
      <c r="D197" s="1116">
        <v>561.41999999999996</v>
      </c>
    </row>
    <row r="198" spans="1:4">
      <c r="A198" s="1116" t="s">
        <v>56</v>
      </c>
      <c r="B198" s="1116">
        <v>1143.5899999999999</v>
      </c>
      <c r="C198" s="1116">
        <v>1057.49</v>
      </c>
      <c r="D198" s="1116">
        <v>2201.08</v>
      </c>
    </row>
    <row r="199" spans="1:4">
      <c r="A199" s="1116" t="s">
        <v>57</v>
      </c>
      <c r="B199" s="1116">
        <v>17.28</v>
      </c>
      <c r="C199" s="1116">
        <v>15.58</v>
      </c>
      <c r="D199" s="1116">
        <v>32.86</v>
      </c>
    </row>
    <row r="200" spans="1:4">
      <c r="A200" s="1116" t="s">
        <v>58</v>
      </c>
      <c r="B200" s="1116">
        <v>2191.9299999999998</v>
      </c>
      <c r="C200" s="1116">
        <v>558.5</v>
      </c>
      <c r="D200" s="1116">
        <v>2750.43</v>
      </c>
    </row>
    <row r="201" spans="1:4">
      <c r="A201" s="1116" t="s">
        <v>59</v>
      </c>
      <c r="B201" s="1116">
        <v>0</v>
      </c>
      <c r="C201" s="1116">
        <v>0</v>
      </c>
      <c r="D201" s="1116">
        <v>0</v>
      </c>
    </row>
    <row r="202" spans="1:4">
      <c r="A202" s="1116" t="s">
        <v>60</v>
      </c>
      <c r="B202" s="1116">
        <v>4573.66</v>
      </c>
      <c r="C202" s="1116">
        <v>2776.2799999999997</v>
      </c>
      <c r="D202" s="1116">
        <v>7349.9399999999987</v>
      </c>
    </row>
    <row r="203" spans="1:4">
      <c r="A203" s="1116" t="s">
        <v>61</v>
      </c>
      <c r="B203" s="1116">
        <v>0</v>
      </c>
      <c r="C203" s="1116">
        <v>0</v>
      </c>
      <c r="D203" s="1116">
        <v>0</v>
      </c>
    </row>
    <row r="204" spans="1:4">
      <c r="A204" s="1116" t="s">
        <v>62</v>
      </c>
      <c r="B204" s="1116">
        <v>0</v>
      </c>
      <c r="C204" s="1116">
        <v>0</v>
      </c>
      <c r="D204" s="1116">
        <v>0</v>
      </c>
    </row>
    <row r="205" spans="1:4">
      <c r="A205" s="1116" t="s">
        <v>63</v>
      </c>
      <c r="B205" s="1116">
        <v>0</v>
      </c>
      <c r="C205" s="1116">
        <v>0</v>
      </c>
      <c r="D205" s="1116">
        <v>0</v>
      </c>
    </row>
    <row r="206" spans="1:4">
      <c r="A206" s="1116" t="s">
        <v>64</v>
      </c>
      <c r="B206" s="1116">
        <v>0</v>
      </c>
      <c r="C206" s="1116">
        <v>0</v>
      </c>
      <c r="D206" s="1116">
        <v>0</v>
      </c>
    </row>
    <row r="207" spans="1:4">
      <c r="A207" s="1116" t="s">
        <v>65</v>
      </c>
      <c r="B207" s="1116">
        <v>0</v>
      </c>
      <c r="C207" s="1116">
        <v>0</v>
      </c>
      <c r="D207" s="1116">
        <v>0</v>
      </c>
    </row>
    <row r="208" spans="1:4">
      <c r="A208" s="1116" t="s">
        <v>66</v>
      </c>
      <c r="B208" s="1116">
        <v>0</v>
      </c>
      <c r="C208" s="1116">
        <v>0</v>
      </c>
      <c r="D208" s="1116">
        <v>0</v>
      </c>
    </row>
    <row r="209" spans="1:4">
      <c r="A209" s="1116" t="s">
        <v>67</v>
      </c>
      <c r="B209" s="1116">
        <v>0</v>
      </c>
      <c r="C209" s="1116">
        <v>0</v>
      </c>
      <c r="D209" s="1116">
        <v>0</v>
      </c>
    </row>
    <row r="210" spans="1:4">
      <c r="A210" s="1116" t="s">
        <v>68</v>
      </c>
      <c r="B210" s="1116">
        <v>0</v>
      </c>
      <c r="C210" s="1116">
        <v>5.05</v>
      </c>
      <c r="D210" s="1116">
        <v>5.05</v>
      </c>
    </row>
    <row r="211" spans="1:4">
      <c r="A211" s="1116" t="s">
        <v>69</v>
      </c>
      <c r="B211" s="1116">
        <v>0</v>
      </c>
      <c r="C211" s="1116">
        <v>0</v>
      </c>
      <c r="D211" s="1116">
        <v>0</v>
      </c>
    </row>
    <row r="212" spans="1:4">
      <c r="A212" s="1116" t="s">
        <v>70</v>
      </c>
      <c r="B212" s="1116">
        <v>0</v>
      </c>
      <c r="C212" s="1116">
        <v>0</v>
      </c>
      <c r="D212" s="1116">
        <v>0</v>
      </c>
    </row>
    <row r="213" spans="1:4">
      <c r="A213" s="1116" t="s">
        <v>71</v>
      </c>
      <c r="B213" s="1116">
        <v>0</v>
      </c>
      <c r="C213" s="1116">
        <v>0</v>
      </c>
      <c r="D213" s="1116">
        <v>0</v>
      </c>
    </row>
    <row r="214" spans="1:4">
      <c r="A214" s="1116" t="s">
        <v>72</v>
      </c>
      <c r="B214" s="1116">
        <v>0</v>
      </c>
      <c r="C214" s="1116">
        <v>0</v>
      </c>
      <c r="D214" s="1116">
        <v>0</v>
      </c>
    </row>
    <row r="215" spans="1:4">
      <c r="A215" s="1116" t="s">
        <v>1278</v>
      </c>
      <c r="B215" s="1116">
        <v>0</v>
      </c>
      <c r="C215" s="1116">
        <v>0.36</v>
      </c>
      <c r="D215" s="1116">
        <v>0.36</v>
      </c>
    </row>
    <row r="216" spans="1:4">
      <c r="A216" s="1116" t="s">
        <v>1279</v>
      </c>
      <c r="B216" s="1116">
        <v>0</v>
      </c>
      <c r="C216" s="1116">
        <v>5.41</v>
      </c>
      <c r="D216" s="1116">
        <v>5.41</v>
      </c>
    </row>
    <row r="217" spans="1:4">
      <c r="A217" s="1116" t="s">
        <v>73</v>
      </c>
      <c r="B217" s="1116">
        <v>9132.648000000001</v>
      </c>
      <c r="C217" s="1116">
        <v>5351.26</v>
      </c>
      <c r="D217" s="1116">
        <v>14483.907999999999</v>
      </c>
    </row>
    <row r="219" spans="1:4">
      <c r="A219" s="1116" t="s">
        <v>1909</v>
      </c>
    </row>
    <row r="220" spans="1:4">
      <c r="A220" s="1116" t="s">
        <v>1280</v>
      </c>
      <c r="D220" s="1116">
        <v>9132.648000000001</v>
      </c>
    </row>
    <row r="221" spans="1:4">
      <c r="A221" s="1116" t="s">
        <v>1281</v>
      </c>
      <c r="D221" s="1116">
        <v>5351.26</v>
      </c>
    </row>
    <row r="222" spans="1:4">
      <c r="A222" s="1116" t="s">
        <v>1282</v>
      </c>
      <c r="D222" s="1116">
        <v>1437.4302260000002</v>
      </c>
    </row>
    <row r="223" spans="1:4">
      <c r="A223" s="1116" t="s">
        <v>1910</v>
      </c>
      <c r="D223" s="1116">
        <v>15921.338226000002</v>
      </c>
    </row>
    <row r="224" spans="1:4">
      <c r="A224" s="1116" t="s">
        <v>1911</v>
      </c>
      <c r="D224" s="1116">
        <v>14025.41</v>
      </c>
    </row>
    <row r="225" spans="1:9">
      <c r="A225" s="1116" t="s">
        <v>1912</v>
      </c>
      <c r="D225" s="1116">
        <v>42085.878226000001</v>
      </c>
    </row>
    <row r="226" spans="1:9">
      <c r="A226" s="1116" t="s">
        <v>1913</v>
      </c>
      <c r="D226" s="1116">
        <v>38322.36</v>
      </c>
    </row>
    <row r="228" spans="1:9">
      <c r="A228" s="1116" t="s">
        <v>1283</v>
      </c>
    </row>
    <row r="229" spans="1:9">
      <c r="A229" s="1116" t="s">
        <v>1284</v>
      </c>
    </row>
    <row r="230" spans="1:9">
      <c r="A230" s="1116" t="s">
        <v>1914</v>
      </c>
    </row>
    <row r="231" spans="1:9">
      <c r="A231" s="1116" t="s">
        <v>1915</v>
      </c>
    </row>
    <row r="233" spans="1:9">
      <c r="A233" s="1112" t="s">
        <v>1348</v>
      </c>
    </row>
    <row r="235" spans="1:9">
      <c r="B235" s="1116" t="s">
        <v>1597</v>
      </c>
    </row>
    <row r="236" spans="1:9">
      <c r="B236" s="1116" t="s">
        <v>1598</v>
      </c>
    </row>
    <row r="239" spans="1:9">
      <c r="A239" s="1116" t="s">
        <v>1350</v>
      </c>
    </row>
    <row r="240" spans="1:9" ht="76.5" customHeight="1">
      <c r="A240" s="1116" t="s">
        <v>1916</v>
      </c>
      <c r="B240" s="1114" t="s">
        <v>1917</v>
      </c>
      <c r="C240" s="1114" t="s">
        <v>1918</v>
      </c>
      <c r="D240" s="1114" t="s">
        <v>1919</v>
      </c>
      <c r="E240" s="1114" t="s">
        <v>1920</v>
      </c>
      <c r="F240" s="1114" t="s">
        <v>1921</v>
      </c>
      <c r="G240" s="1114" t="s">
        <v>1922</v>
      </c>
      <c r="H240" s="1114" t="s">
        <v>1920</v>
      </c>
      <c r="I240" s="1114"/>
    </row>
    <row r="242" spans="1:8">
      <c r="B242" s="1116">
        <v>1</v>
      </c>
      <c r="C242" s="1116">
        <v>2</v>
      </c>
      <c r="D242" s="1116">
        <v>3</v>
      </c>
      <c r="E242" s="1116">
        <v>4</v>
      </c>
      <c r="F242" s="1116">
        <v>5</v>
      </c>
      <c r="G242" s="1116">
        <v>6</v>
      </c>
      <c r="H242" s="1116">
        <v>7</v>
      </c>
    </row>
    <row r="243" spans="1:8">
      <c r="A243" s="1116" t="s">
        <v>643</v>
      </c>
      <c r="B243" s="1116">
        <v>39442.25</v>
      </c>
      <c r="C243" s="1116">
        <v>6237.8894659420002</v>
      </c>
      <c r="D243" s="1116">
        <v>7083.5195000000003</v>
      </c>
      <c r="E243" s="1116">
        <v>113.55634848413108</v>
      </c>
      <c r="F243" s="1116">
        <v>9711.7538349419992</v>
      </c>
      <c r="G243" s="1116">
        <v>10817.898499999999</v>
      </c>
      <c r="H243" s="1116">
        <v>111.38975188063553</v>
      </c>
    </row>
    <row r="244" spans="1:8">
      <c r="A244" s="1116" t="s">
        <v>724</v>
      </c>
      <c r="B244" s="1116">
        <v>41087.629999999997</v>
      </c>
      <c r="C244" s="1116">
        <v>5618.2919620000002</v>
      </c>
      <c r="D244" s="1116">
        <v>5994.6585769999992</v>
      </c>
      <c r="E244" s="1116">
        <v>106.69895081184104</v>
      </c>
      <c r="F244" s="1116">
        <v>10971.742833650002</v>
      </c>
      <c r="G244" s="1116">
        <v>12116.838576999999</v>
      </c>
      <c r="H244" s="1116">
        <v>110.4367716297362</v>
      </c>
    </row>
    <row r="245" spans="1:8">
      <c r="A245" s="1116" t="s">
        <v>1351</v>
      </c>
      <c r="B245" s="1116">
        <v>10170.92</v>
      </c>
      <c r="C245" s="1116">
        <v>313.23258199999998</v>
      </c>
      <c r="D245" s="1116">
        <v>301.69633599999997</v>
      </c>
      <c r="E245" s="1116">
        <v>96.317035116097856</v>
      </c>
      <c r="F245" s="1116">
        <v>583.20268099999998</v>
      </c>
      <c r="G245" s="1116">
        <v>590.61530849999997</v>
      </c>
      <c r="H245" s="1116">
        <v>101.27102082029009</v>
      </c>
    </row>
    <row r="246" spans="1:8">
      <c r="A246" s="1116" t="s">
        <v>645</v>
      </c>
      <c r="C246" s="1116">
        <v>611.55046000000004</v>
      </c>
      <c r="D246" s="1116">
        <v>404.37299999999999</v>
      </c>
      <c r="E246" s="1116">
        <v>66.122589458930335</v>
      </c>
      <c r="F246" s="1116">
        <v>1499.723</v>
      </c>
      <c r="G246" s="1116">
        <v>1288.4496940000001</v>
      </c>
      <c r="H246" s="1116">
        <v>85.912511443779962</v>
      </c>
    </row>
    <row r="247" spans="1:8">
      <c r="A247" s="1116" t="s">
        <v>1352</v>
      </c>
      <c r="B247" s="1116">
        <v>4786.8100000000004</v>
      </c>
      <c r="C247" s="1116">
        <v>767.18749500000013</v>
      </c>
      <c r="D247" s="1116">
        <v>554.67008999999996</v>
      </c>
      <c r="E247" s="1116">
        <v>72.299156805208341</v>
      </c>
      <c r="F247" s="1116">
        <v>1460.7918020000002</v>
      </c>
      <c r="G247" s="1116">
        <v>994.69037318000005</v>
      </c>
      <c r="H247" s="1116">
        <v>68.092548973655852</v>
      </c>
    </row>
    <row r="248" spans="1:8">
      <c r="A248" s="1116" t="s">
        <v>647</v>
      </c>
      <c r="B248" s="1116">
        <v>168.64</v>
      </c>
      <c r="C248" s="1116">
        <v>36.470780000000005</v>
      </c>
      <c r="D248" s="1116">
        <v>176.6908</v>
      </c>
      <c r="E248" s="1116">
        <v>484.47222680732347</v>
      </c>
      <c r="F248" s="1116">
        <v>69.736850000000004</v>
      </c>
      <c r="G248" s="1116">
        <v>356.04270999999994</v>
      </c>
      <c r="H248" s="1116">
        <v>510.55175276772599</v>
      </c>
    </row>
    <row r="249" spans="1:8">
      <c r="A249" s="1116" t="s">
        <v>0</v>
      </c>
      <c r="B249" s="1116">
        <v>95656.25</v>
      </c>
      <c r="C249" s="1116">
        <v>13584.622744942</v>
      </c>
      <c r="D249" s="1116">
        <v>14515.608303000001</v>
      </c>
      <c r="E249" s="1116">
        <v>106.8532308591686</v>
      </c>
      <c r="F249" s="1116">
        <v>24296.951001592002</v>
      </c>
      <c r="G249" s="1116">
        <v>26164.537319699997</v>
      </c>
      <c r="H249" s="1116">
        <v>107.68650485398609</v>
      </c>
    </row>
    <row r="276" spans="1:71">
      <c r="A276" s="1112" t="s">
        <v>1354</v>
      </c>
    </row>
    <row r="278" spans="1:71" ht="21">
      <c r="A278" s="1189" t="s">
        <v>1503</v>
      </c>
      <c r="B278" s="1189"/>
      <c r="C278" s="1189"/>
      <c r="D278" s="1189"/>
      <c r="E278" s="1189"/>
      <c r="F278" s="1189"/>
      <c r="G278" s="1189"/>
      <c r="H278" s="1189"/>
      <c r="I278" s="1189"/>
      <c r="J278" s="1189"/>
      <c r="K278" s="1189"/>
      <c r="L278" s="1189"/>
    </row>
    <row r="279" spans="1:71" ht="13.5" thickBot="1"/>
    <row r="280" spans="1:71" ht="13.5" customHeight="1" thickBot="1">
      <c r="A280" s="1190" t="s">
        <v>1285</v>
      </c>
      <c r="B280" s="1191" t="s">
        <v>1599</v>
      </c>
      <c r="C280" s="1191" t="s">
        <v>1600</v>
      </c>
      <c r="D280" s="1191" t="s">
        <v>1601</v>
      </c>
      <c r="E280" s="1191" t="s">
        <v>1602</v>
      </c>
      <c r="F280" s="1191" t="s">
        <v>1603</v>
      </c>
      <c r="G280" s="1192" t="s">
        <v>404</v>
      </c>
      <c r="H280" s="1193" t="s">
        <v>510</v>
      </c>
      <c r="I280" s="1194" t="s">
        <v>1604</v>
      </c>
      <c r="J280" s="1195"/>
      <c r="K280" s="1195"/>
      <c r="L280" s="1196"/>
    </row>
    <row r="281" spans="1:71" ht="13.5" thickBot="1">
      <c r="A281" s="1197"/>
      <c r="B281" s="1198"/>
      <c r="C281" s="1198"/>
      <c r="D281" s="1198"/>
      <c r="E281" s="1198"/>
      <c r="F281" s="1198"/>
      <c r="G281" s="1199"/>
      <c r="H281" s="1200"/>
      <c r="I281" s="1117" t="s">
        <v>1286</v>
      </c>
      <c r="J281" s="1118" t="s">
        <v>1287</v>
      </c>
      <c r="K281" s="1118" t="s">
        <v>1288</v>
      </c>
      <c r="L281" s="1119" t="s">
        <v>1289</v>
      </c>
      <c r="M281" s="1305"/>
      <c r="N281" s="1316"/>
      <c r="O281" s="1305"/>
      <c r="P281" s="1305"/>
      <c r="Q281" s="1305"/>
      <c r="R281" s="1305"/>
      <c r="S281" s="1305"/>
      <c r="T281" s="1305"/>
      <c r="U281" s="1305"/>
      <c r="BA281" s="12"/>
      <c r="BB281" s="12"/>
      <c r="BC281" s="1172" t="s">
        <v>1356</v>
      </c>
      <c r="BD281" s="12"/>
      <c r="BE281" s="12"/>
      <c r="BF281" s="12"/>
      <c r="BG281" s="12"/>
      <c r="BH281" s="12"/>
      <c r="BI281" s="12"/>
      <c r="BJ281" s="12"/>
      <c r="BK281" s="1172" t="s">
        <v>1369</v>
      </c>
      <c r="BL281" s="12"/>
      <c r="BM281" s="12"/>
      <c r="BN281" s="12"/>
      <c r="BO281" s="12"/>
      <c r="BP281" s="12"/>
      <c r="BQ281" s="12"/>
      <c r="BR281" s="12"/>
      <c r="BS281" s="12"/>
    </row>
    <row r="282" spans="1:71" ht="16.5" customHeight="1" thickTop="1">
      <c r="A282" s="1201" t="s">
        <v>1290</v>
      </c>
      <c r="B282" s="1202"/>
      <c r="C282" s="1202"/>
      <c r="D282" s="1202"/>
      <c r="E282" s="1202"/>
      <c r="F282" s="1202"/>
      <c r="G282" s="1202"/>
      <c r="H282" s="1202"/>
      <c r="I282" s="1202"/>
      <c r="J282" s="1202"/>
      <c r="K282" s="1202"/>
      <c r="L282" s="1203"/>
      <c r="M282" s="1305"/>
      <c r="N282" s="1305"/>
      <c r="O282" s="1305"/>
      <c r="P282" s="1305"/>
      <c r="Q282" s="1305"/>
      <c r="R282" s="1305"/>
      <c r="S282" s="1305"/>
      <c r="T282" s="1305"/>
      <c r="U282" s="1305"/>
      <c r="BA282" s="12"/>
      <c r="BB282" s="12"/>
      <c r="BC282" s="12" t="s">
        <v>405</v>
      </c>
      <c r="BD282" s="12" t="s">
        <v>405</v>
      </c>
      <c r="BE282" s="12" t="s">
        <v>405</v>
      </c>
      <c r="BF282" s="12" t="s">
        <v>407</v>
      </c>
      <c r="BG282" s="12" t="s">
        <v>407</v>
      </c>
      <c r="BH282" s="12" t="s">
        <v>407</v>
      </c>
      <c r="BI282" s="12" t="s">
        <v>411</v>
      </c>
      <c r="BJ282" s="12" t="s">
        <v>406</v>
      </c>
      <c r="BK282" s="12" t="s">
        <v>405</v>
      </c>
      <c r="BL282" s="12" t="s">
        <v>405</v>
      </c>
      <c r="BM282" s="12" t="s">
        <v>405</v>
      </c>
      <c r="BN282" s="12" t="s">
        <v>407</v>
      </c>
      <c r="BO282" s="12" t="s">
        <v>407</v>
      </c>
      <c r="BP282" s="12" t="s">
        <v>407</v>
      </c>
      <c r="BQ282" s="12" t="s">
        <v>411</v>
      </c>
      <c r="BR282" s="12" t="s">
        <v>406</v>
      </c>
      <c r="BS282" s="12" t="s">
        <v>1372</v>
      </c>
    </row>
    <row r="283" spans="1:71" ht="16.5" customHeight="1" thickBot="1">
      <c r="A283" s="1204" t="s">
        <v>8</v>
      </c>
      <c r="B283" s="1205"/>
      <c r="C283" s="1206"/>
      <c r="D283" s="1206"/>
      <c r="E283" s="1206"/>
      <c r="F283" s="1206"/>
      <c r="G283" s="1206"/>
      <c r="H283" s="1206"/>
      <c r="I283" s="1206"/>
      <c r="J283" s="1206"/>
      <c r="K283" s="1206"/>
      <c r="L283" s="1207"/>
      <c r="M283" s="1305"/>
      <c r="N283" s="1305"/>
      <c r="O283" s="1305"/>
      <c r="P283" s="1305"/>
      <c r="Q283" s="1305"/>
      <c r="R283" s="1305"/>
      <c r="S283" s="1305"/>
      <c r="T283" s="1305"/>
      <c r="U283" s="1305"/>
      <c r="BA283" s="12"/>
      <c r="BB283" s="12"/>
      <c r="BC283" s="12" t="s">
        <v>415</v>
      </c>
      <c r="BD283" s="12" t="s">
        <v>413</v>
      </c>
      <c r="BE283" s="12" t="s">
        <v>414</v>
      </c>
      <c r="BF283" s="12" t="s">
        <v>415</v>
      </c>
      <c r="BG283" s="12" t="s">
        <v>413</v>
      </c>
      <c r="BH283" s="12" t="s">
        <v>414</v>
      </c>
      <c r="BI283" s="12" t="s">
        <v>415</v>
      </c>
      <c r="BJ283" s="12"/>
      <c r="BK283" s="12" t="s">
        <v>415</v>
      </c>
      <c r="BL283" s="12" t="s">
        <v>413</v>
      </c>
      <c r="BM283" s="12" t="s">
        <v>414</v>
      </c>
      <c r="BN283" s="12" t="s">
        <v>415</v>
      </c>
      <c r="BO283" s="12" t="s">
        <v>413</v>
      </c>
      <c r="BP283" s="12" t="s">
        <v>414</v>
      </c>
      <c r="BQ283" s="12" t="s">
        <v>415</v>
      </c>
      <c r="BR283" s="12"/>
      <c r="BS283" s="12"/>
    </row>
    <row r="284" spans="1:71" ht="13.5" thickBot="1">
      <c r="A284" s="1120">
        <v>1</v>
      </c>
      <c r="B284" s="1121" t="s">
        <v>1605</v>
      </c>
      <c r="C284" s="1122">
        <v>1</v>
      </c>
      <c r="D284" s="1123">
        <v>660</v>
      </c>
      <c r="E284" s="1123" t="s">
        <v>1606</v>
      </c>
      <c r="F284" s="1123" t="s">
        <v>499</v>
      </c>
      <c r="G284" s="1123" t="s">
        <v>415</v>
      </c>
      <c r="H284" s="1123" t="s">
        <v>1362</v>
      </c>
      <c r="I284" s="1124"/>
      <c r="J284" s="1125">
        <v>660</v>
      </c>
      <c r="K284" s="1126"/>
      <c r="L284" s="1125"/>
      <c r="M284" s="442"/>
      <c r="N284" s="1124"/>
      <c r="O284" s="1124"/>
      <c r="P284" s="1124"/>
      <c r="Q284" s="1124"/>
      <c r="R284" s="1124"/>
      <c r="S284" s="1124"/>
      <c r="T284" s="1124"/>
      <c r="U284" s="1127"/>
      <c r="BA284" s="568">
        <v>44287</v>
      </c>
      <c r="BB284" s="568" t="s">
        <v>1358</v>
      </c>
      <c r="BC284" s="1174">
        <f>SUMIFS(D284:D305,H284:H305,BB284,G284:G305,BC283)</f>
        <v>0</v>
      </c>
      <c r="BD284" s="1174">
        <f>SUMIFS(D284:D305,H284:H305,BB284,G284:G305,BD283)</f>
        <v>0</v>
      </c>
      <c r="BE284" s="1174">
        <f>SUMIFS(D284:D305,H284:H305,BB284,G284:G305,BE283)</f>
        <v>0</v>
      </c>
      <c r="BF284" s="1174">
        <f>SUMIFS(D308:D325,H308:H325,BB284,G308:G325,BF283)</f>
        <v>0</v>
      </c>
      <c r="BG284" s="1174">
        <f>SUMIFS(D308:D325,H308:H325,BB284,G308:G325,BG283)</f>
        <v>0</v>
      </c>
      <c r="BH284" s="1174">
        <f>SUMIFS(D308:D325,H308:H325,BB284,G308:G325,BH283)</f>
        <v>0</v>
      </c>
      <c r="BI284" s="1174">
        <f t="shared" ref="BI284:BI288" si="0">SUMIFS($D$329:$D$329,$H$329:$H$329,$BB284,$G$329:$G$329,$BI$283)</f>
        <v>0</v>
      </c>
      <c r="BJ284" s="1127">
        <f>SUM(BC284:BI284)</f>
        <v>0</v>
      </c>
      <c r="BK284" s="1174">
        <v>0</v>
      </c>
      <c r="BL284" s="1174">
        <v>0</v>
      </c>
      <c r="BM284" s="1174">
        <v>0</v>
      </c>
      <c r="BN284" s="1174">
        <v>0</v>
      </c>
      <c r="BO284" s="1174">
        <v>0</v>
      </c>
      <c r="BP284" s="1174">
        <v>0</v>
      </c>
      <c r="BQ284" s="1174">
        <v>0</v>
      </c>
      <c r="BR284" s="1127">
        <f>SUM(BK284:BQ284)</f>
        <v>0</v>
      </c>
      <c r="BS284" s="1173">
        <f>BR284</f>
        <v>0</v>
      </c>
    </row>
    <row r="285" spans="1:71" ht="13.5" thickBot="1">
      <c r="A285" s="1120">
        <v>2</v>
      </c>
      <c r="B285" s="1121" t="s">
        <v>1605</v>
      </c>
      <c r="C285" s="1122">
        <v>2</v>
      </c>
      <c r="D285" s="1123">
        <v>660</v>
      </c>
      <c r="E285" s="1123" t="s">
        <v>1606</v>
      </c>
      <c r="F285" s="1123" t="s">
        <v>499</v>
      </c>
      <c r="G285" s="1123" t="s">
        <v>415</v>
      </c>
      <c r="H285" s="1120" t="s">
        <v>1364</v>
      </c>
      <c r="I285" s="1125"/>
      <c r="J285" s="1128"/>
      <c r="K285" s="1126"/>
      <c r="L285" s="1125">
        <v>660</v>
      </c>
      <c r="M285" s="442"/>
      <c r="N285" s="1124"/>
      <c r="O285" s="1124"/>
      <c r="P285" s="1124"/>
      <c r="Q285" s="1124"/>
      <c r="R285" s="1124"/>
      <c r="S285" s="1124"/>
      <c r="T285" s="1124"/>
      <c r="U285" s="1127"/>
      <c r="BA285" s="568">
        <v>44317</v>
      </c>
      <c r="BB285" s="568" t="s">
        <v>1357</v>
      </c>
      <c r="BC285" s="1174">
        <f>SUMIFS(D284:D305,H284:H305,BB285,G284:G305,BC283)</f>
        <v>0</v>
      </c>
      <c r="BD285" s="1174">
        <f>SUMIFS(D284:D305,H284:H305,BB285,G284:G305,BD283)</f>
        <v>0</v>
      </c>
      <c r="BE285" s="1174">
        <f>SUMIFS(D284:D305,H284:H305,BB285,G284:G305,BE283)</f>
        <v>525</v>
      </c>
      <c r="BF285" s="1174">
        <f>SUMIFS(D308:D325,H308:H325,BB285,G308:G325,BF283)</f>
        <v>0</v>
      </c>
      <c r="BG285" s="1174">
        <f>SUMIFS(D308:D325,H308:H325,BB285,G308:G325,BG283)</f>
        <v>0</v>
      </c>
      <c r="BH285" s="1174">
        <f>SUMIFS(D308:D325,H308:H325,BB285,G308:G325,BH283)</f>
        <v>112.97799999999999</v>
      </c>
      <c r="BI285" s="1174">
        <f t="shared" si="0"/>
        <v>0</v>
      </c>
      <c r="BJ285" s="1127">
        <f t="shared" ref="BJ285:BJ295" si="1">SUM(BC285:BI285)</f>
        <v>637.97799999999995</v>
      </c>
      <c r="BK285" s="1174">
        <v>0</v>
      </c>
      <c r="BL285" s="1174">
        <v>0</v>
      </c>
      <c r="BM285" s="1174">
        <v>0</v>
      </c>
      <c r="BN285" s="1174">
        <v>0</v>
      </c>
      <c r="BO285" s="1174">
        <v>0</v>
      </c>
      <c r="BP285" s="1174">
        <v>0</v>
      </c>
      <c r="BQ285" s="1174">
        <v>0</v>
      </c>
      <c r="BR285" s="1127">
        <f t="shared" ref="BR285:BR295" si="2">SUM(BK285:BQ285)</f>
        <v>0</v>
      </c>
      <c r="BS285" s="1173">
        <f>BS284+BR285</f>
        <v>0</v>
      </c>
    </row>
    <row r="286" spans="1:71" ht="13.5" thickBot="1">
      <c r="A286" s="1120">
        <v>3</v>
      </c>
      <c r="B286" s="1121" t="s">
        <v>1607</v>
      </c>
      <c r="C286" s="1122">
        <v>2</v>
      </c>
      <c r="D286" s="1123">
        <v>800</v>
      </c>
      <c r="E286" s="1123" t="s">
        <v>1606</v>
      </c>
      <c r="F286" s="1123" t="s">
        <v>472</v>
      </c>
      <c r="G286" s="1123" t="s">
        <v>415</v>
      </c>
      <c r="H286" s="1123" t="s">
        <v>1359</v>
      </c>
      <c r="I286" s="1122"/>
      <c r="J286" s="1129">
        <v>800</v>
      </c>
      <c r="K286" s="1128"/>
      <c r="L286" s="1126"/>
      <c r="M286" s="442"/>
      <c r="N286" s="1124"/>
      <c r="O286" s="1124"/>
      <c r="P286" s="1124"/>
      <c r="Q286" s="1124"/>
      <c r="R286" s="1124"/>
      <c r="S286" s="1124"/>
      <c r="T286" s="1124"/>
      <c r="U286" s="1127"/>
      <c r="BA286" s="568">
        <v>44348</v>
      </c>
      <c r="BB286" s="568" t="s">
        <v>1361</v>
      </c>
      <c r="BC286" s="1174">
        <f>SUMIFS(D284:D305,H284:H305,BB286,G284:G305,BC283)</f>
        <v>0</v>
      </c>
      <c r="BD286" s="1174">
        <f>SUMIFS(D284:D305,H284:H305,BB286,G284:G305,BD283)</f>
        <v>660</v>
      </c>
      <c r="BE286" s="1174">
        <f>SUMIFS(D284:D305,H284:H305,BB286,G284:G305,BE283)</f>
        <v>0</v>
      </c>
      <c r="BF286" s="1174">
        <f>SUMIFS(D308:D325,H308:H325,BB286,G308:G325,BF283)</f>
        <v>0</v>
      </c>
      <c r="BG286" s="1174">
        <f>SUMIFS(D308:D325,H308:H325,BB286,G308:G325,BG283)</f>
        <v>0</v>
      </c>
      <c r="BH286" s="1174">
        <f>SUMIFS(D308:D325,H308:H325,BB286,G308:G325,BH283)</f>
        <v>0</v>
      </c>
      <c r="BI286" s="1174">
        <f t="shared" si="0"/>
        <v>0</v>
      </c>
      <c r="BJ286" s="1127">
        <f t="shared" si="1"/>
        <v>660</v>
      </c>
      <c r="BK286" s="1174">
        <v>0</v>
      </c>
      <c r="BL286" s="1174">
        <v>0</v>
      </c>
      <c r="BM286" s="1174">
        <v>0</v>
      </c>
      <c r="BN286" s="1174">
        <v>0</v>
      </c>
      <c r="BO286" s="1174">
        <v>0</v>
      </c>
      <c r="BP286" s="1174">
        <v>112.97799999999999</v>
      </c>
      <c r="BQ286" s="1174">
        <v>0</v>
      </c>
      <c r="BR286" s="1127">
        <f t="shared" si="2"/>
        <v>112.97799999999999</v>
      </c>
      <c r="BS286" s="1173">
        <f t="shared" ref="BS286:BS295" si="3">BS285+BR286</f>
        <v>112.97799999999999</v>
      </c>
    </row>
    <row r="287" spans="1:71" ht="23.25" thickBot="1">
      <c r="A287" s="1120">
        <v>4</v>
      </c>
      <c r="B287" s="1130" t="s">
        <v>1608</v>
      </c>
      <c r="C287" s="1122">
        <v>4</v>
      </c>
      <c r="D287" s="1123">
        <v>250</v>
      </c>
      <c r="E287" s="1123" t="s">
        <v>1609</v>
      </c>
      <c r="F287" s="1123" t="s">
        <v>499</v>
      </c>
      <c r="G287" s="1123" t="s">
        <v>415</v>
      </c>
      <c r="H287" s="1123" t="s">
        <v>1359</v>
      </c>
      <c r="I287" s="1131"/>
      <c r="J287" s="1123">
        <v>250</v>
      </c>
      <c r="K287" s="1131"/>
      <c r="L287" s="1131"/>
      <c r="M287" s="442"/>
      <c r="N287" s="1124"/>
      <c r="O287" s="1124"/>
      <c r="P287" s="1124"/>
      <c r="Q287" s="1124"/>
      <c r="R287" s="1124"/>
      <c r="S287" s="1124"/>
      <c r="T287" s="1124"/>
      <c r="U287" s="1127"/>
      <c r="BA287" s="568">
        <v>44378</v>
      </c>
      <c r="BB287" s="568" t="s">
        <v>1362</v>
      </c>
      <c r="BC287" s="1174">
        <f>SUMIFS(D284:D305,H284:H305,BB287,G284:G305,BC283)</f>
        <v>660</v>
      </c>
      <c r="BD287" s="1174">
        <f>SUMIFS(D284:D305,H284:H305,BB287,G284:G305,BD283)</f>
        <v>1460</v>
      </c>
      <c r="BE287" s="1174">
        <f>SUMIFS(D284:D305,H284:H305,BB287,G284:G305,BE283)</f>
        <v>0</v>
      </c>
      <c r="BF287" s="1174">
        <f>SUMIFS(D308:D325,H308:H325,BB287,G308:G325,BF283)</f>
        <v>0</v>
      </c>
      <c r="BG287" s="1174">
        <f>SUMIFS(D308:D325,H308:H325,BB287,G308:G325,BG283)</f>
        <v>0</v>
      </c>
      <c r="BH287" s="1174">
        <f>SUMIFS(D308:D325,H308:H325,BB287,G308:G325,BH283)</f>
        <v>0</v>
      </c>
      <c r="BI287" s="1174">
        <f t="shared" si="0"/>
        <v>0</v>
      </c>
      <c r="BJ287" s="1127">
        <f t="shared" si="1"/>
        <v>2120</v>
      </c>
      <c r="BK287" s="1174"/>
      <c r="BL287" s="1174"/>
      <c r="BM287" s="1174"/>
      <c r="BN287" s="1174"/>
      <c r="BO287" s="1174"/>
      <c r="BP287" s="1174"/>
      <c r="BQ287" s="1174"/>
      <c r="BR287" s="1127">
        <f t="shared" si="2"/>
        <v>0</v>
      </c>
      <c r="BS287" s="1173">
        <f t="shared" si="3"/>
        <v>112.97799999999999</v>
      </c>
    </row>
    <row r="288" spans="1:71" ht="34.5" thickBot="1">
      <c r="A288" s="1120">
        <v>5</v>
      </c>
      <c r="B288" s="1130" t="s">
        <v>1610</v>
      </c>
      <c r="C288" s="1122">
        <v>1</v>
      </c>
      <c r="D288" s="1123">
        <v>250</v>
      </c>
      <c r="E288" s="1123" t="s">
        <v>1611</v>
      </c>
      <c r="F288" s="1123" t="s">
        <v>472</v>
      </c>
      <c r="G288" s="1123" t="s">
        <v>415</v>
      </c>
      <c r="H288" s="1123" t="s">
        <v>1360</v>
      </c>
      <c r="I288" s="1132"/>
      <c r="J288" s="1132">
        <v>250</v>
      </c>
      <c r="K288" s="1123"/>
      <c r="L288" s="1126"/>
      <c r="M288" s="442"/>
      <c r="N288" s="1124"/>
      <c r="O288" s="1124"/>
      <c r="P288" s="1124"/>
      <c r="Q288" s="1124"/>
      <c r="R288" s="1124"/>
      <c r="S288" s="1124"/>
      <c r="T288" s="1124"/>
      <c r="U288" s="1127"/>
      <c r="BA288" s="568">
        <v>44409</v>
      </c>
      <c r="BB288" s="568" t="s">
        <v>1359</v>
      </c>
      <c r="BC288" s="1174">
        <f>SUMIFS(D284:D305,H284:H305,BB288,G284:G305,BC283)</f>
        <v>1050</v>
      </c>
      <c r="BD288" s="1174">
        <f>SUMIFS(D284:D305,H284:H305,BB288,G284:G305,BD283)</f>
        <v>0</v>
      </c>
      <c r="BE288" s="1174">
        <f>SUMIFS(D284:D305,H284:H305,BB288,G284:G305,BE283)</f>
        <v>0</v>
      </c>
      <c r="BF288" s="1174">
        <f>SUMIFS(D308:D325,H308:H325,BB288,G308:G325,BF283)</f>
        <v>0</v>
      </c>
      <c r="BG288" s="1174">
        <f>SUMIFS(D308:D325,H308:H325,BB288,G308:G325,BG283)</f>
        <v>0</v>
      </c>
      <c r="BH288" s="1174">
        <f>SUMIFS(D308:D325,H308:H325,BB288,G308:G325,BH283)</f>
        <v>0</v>
      </c>
      <c r="BI288" s="1174">
        <f t="shared" si="0"/>
        <v>0</v>
      </c>
      <c r="BJ288" s="1127">
        <f t="shared" si="1"/>
        <v>1050</v>
      </c>
      <c r="BK288" s="1174"/>
      <c r="BL288" s="1174"/>
      <c r="BM288" s="1174"/>
      <c r="BN288" s="1174"/>
      <c r="BO288" s="1174"/>
      <c r="BP288" s="1174"/>
      <c r="BQ288" s="1174"/>
      <c r="BR288" s="1127">
        <f t="shared" si="2"/>
        <v>0</v>
      </c>
      <c r="BS288" s="1173">
        <f t="shared" si="3"/>
        <v>112.97799999999999</v>
      </c>
    </row>
    <row r="289" spans="1:71" ht="23.25" thickBot="1">
      <c r="A289" s="1120">
        <v>6</v>
      </c>
      <c r="B289" s="1121" t="s">
        <v>1612</v>
      </c>
      <c r="C289" s="1122">
        <v>3</v>
      </c>
      <c r="D289" s="1123">
        <v>660</v>
      </c>
      <c r="E289" s="1123" t="s">
        <v>1613</v>
      </c>
      <c r="F289" s="1123" t="s">
        <v>499</v>
      </c>
      <c r="G289" s="1123" t="s">
        <v>415</v>
      </c>
      <c r="H289" s="1120" t="s">
        <v>1363</v>
      </c>
      <c r="I289" s="1126"/>
      <c r="J289" s="1126" t="s">
        <v>426</v>
      </c>
      <c r="K289" s="1123">
        <v>660</v>
      </c>
      <c r="L289" s="1126"/>
      <c r="M289" s="442"/>
      <c r="N289" s="1124"/>
      <c r="O289" s="1124"/>
      <c r="P289" s="1124"/>
      <c r="Q289" s="1124"/>
      <c r="R289" s="1124"/>
      <c r="S289" s="1124"/>
      <c r="T289" s="1124"/>
      <c r="U289" s="1127"/>
      <c r="BA289" s="568">
        <v>44440</v>
      </c>
      <c r="BB289" s="568" t="s">
        <v>1360</v>
      </c>
      <c r="BC289" s="1174">
        <f>SUMIFS(D284:D305,H284:H305,BB289,G284:G305,BC283)</f>
        <v>250</v>
      </c>
      <c r="BD289" s="1174">
        <f>SUMIFS(D284:D305,H284:H305,BB289,G284:G305,BD283)</f>
        <v>640</v>
      </c>
      <c r="BE289" s="1174">
        <f>SUMIFS(D284:D305,H284:H305,BB289,G284:G305,BE283)</f>
        <v>0</v>
      </c>
      <c r="BF289" s="1174">
        <f>SUMIFS(D308:D325,H308:H325,BB289,G308:G325,BF283)</f>
        <v>0</v>
      </c>
      <c r="BG289" s="1174">
        <f>SUMIFS(D308:D325,H308:H325,BB289,G308:G325,BG283)</f>
        <v>0</v>
      </c>
      <c r="BH289" s="1174">
        <f>SUMIFS(D308:D325,H308:H325,BB289,G308:G325,BH283)</f>
        <v>0</v>
      </c>
      <c r="BI289" s="1174">
        <f>SUMIFS($D$329:$D$329,$H$329:$H$329,$BB289,$G$329:$G$329,$BI$283)</f>
        <v>700</v>
      </c>
      <c r="BJ289" s="1127">
        <f t="shared" si="1"/>
        <v>1590</v>
      </c>
      <c r="BK289" s="1174"/>
      <c r="BL289" s="1174"/>
      <c r="BM289" s="1174"/>
      <c r="BN289" s="1174"/>
      <c r="BO289" s="1174"/>
      <c r="BP289" s="1174"/>
      <c r="BQ289" s="1174"/>
      <c r="BR289" s="1127">
        <f t="shared" si="2"/>
        <v>0</v>
      </c>
      <c r="BS289" s="1173">
        <f t="shared" si="3"/>
        <v>112.97799999999999</v>
      </c>
    </row>
    <row r="290" spans="1:71" ht="23.25" thickBot="1">
      <c r="A290" s="1120">
        <v>7</v>
      </c>
      <c r="B290" s="1121" t="s">
        <v>1614</v>
      </c>
      <c r="C290" s="1122">
        <v>1</v>
      </c>
      <c r="D290" s="1123">
        <v>660</v>
      </c>
      <c r="E290" s="1123" t="s">
        <v>1606</v>
      </c>
      <c r="F290" s="1123" t="s">
        <v>511</v>
      </c>
      <c r="G290" s="1123" t="s">
        <v>415</v>
      </c>
      <c r="H290" s="1120" t="s">
        <v>1363</v>
      </c>
      <c r="I290" s="1125"/>
      <c r="J290" s="1125"/>
      <c r="K290" s="1125">
        <v>660</v>
      </c>
      <c r="L290" s="1123"/>
      <c r="M290" s="442"/>
      <c r="N290" s="1124"/>
      <c r="O290" s="1124"/>
      <c r="P290" s="1124"/>
      <c r="Q290" s="1124"/>
      <c r="R290" s="1124"/>
      <c r="S290" s="1124"/>
      <c r="T290" s="1124"/>
      <c r="U290" s="1127"/>
      <c r="BA290" s="568">
        <v>44470</v>
      </c>
      <c r="BB290" s="568" t="s">
        <v>1363</v>
      </c>
      <c r="BC290" s="1174">
        <f>SUMIFS(D284:D305,H284:H305,BB290,G284:G305,BC283)</f>
        <v>1320</v>
      </c>
      <c r="BD290" s="1174">
        <f>SUMIFS(D284:D305,H284:H305,BB290,G284:G305,BD283)</f>
        <v>800</v>
      </c>
      <c r="BE290" s="1174">
        <f>SUMIFS(D284:D305,H284:H305,BB290,G284:G305,BE283)</f>
        <v>0</v>
      </c>
      <c r="BF290" s="1174">
        <f>SUMIFS(D308:D325,H308:H325,BB290,G308:G325,BF283)</f>
        <v>0</v>
      </c>
      <c r="BG290" s="1174">
        <f>SUMIFS(D308:D325,H308:H325,BB290,G308:G325,BG283)</f>
        <v>0</v>
      </c>
      <c r="BH290" s="1174">
        <f>SUMIFS(D308:D325,H308:H325,BB290,G308:G325,BH283)</f>
        <v>0</v>
      </c>
      <c r="BI290" s="1174">
        <f t="shared" ref="BI290:BI295" si="4">SUMIFS($D$329:$D$329,$H$329:$H$329,$BB290,$G$329:$G$329,$BI$283)</f>
        <v>0</v>
      </c>
      <c r="BJ290" s="1127">
        <f t="shared" si="1"/>
        <v>2120</v>
      </c>
      <c r="BK290" s="1174"/>
      <c r="BL290" s="1174"/>
      <c r="BM290" s="1174"/>
      <c r="BN290" s="1174"/>
      <c r="BO290" s="1174"/>
      <c r="BP290" s="1174"/>
      <c r="BQ290" s="1174"/>
      <c r="BR290" s="1127">
        <f t="shared" si="2"/>
        <v>0</v>
      </c>
      <c r="BS290" s="1173">
        <f t="shared" si="3"/>
        <v>112.97799999999999</v>
      </c>
    </row>
    <row r="291" spans="1:71" ht="34.5" thickBot="1">
      <c r="A291" s="1120">
        <v>8</v>
      </c>
      <c r="B291" s="1121" t="s">
        <v>1615</v>
      </c>
      <c r="C291" s="1122">
        <v>1</v>
      </c>
      <c r="D291" s="1123">
        <v>660</v>
      </c>
      <c r="E291" s="1123" t="s">
        <v>1616</v>
      </c>
      <c r="F291" s="1123" t="s">
        <v>626</v>
      </c>
      <c r="G291" s="1123" t="s">
        <v>415</v>
      </c>
      <c r="H291" s="1120" t="s">
        <v>1364</v>
      </c>
      <c r="I291" s="1126"/>
      <c r="J291" s="1126"/>
      <c r="K291" s="1126"/>
      <c r="L291" s="1123">
        <v>660</v>
      </c>
      <c r="M291" s="442"/>
      <c r="N291" s="1124"/>
      <c r="O291" s="1124"/>
      <c r="P291" s="1124"/>
      <c r="Q291" s="1124"/>
      <c r="R291" s="1124"/>
      <c r="S291" s="1124"/>
      <c r="T291" s="1124"/>
      <c r="U291" s="1127"/>
      <c r="BA291" s="568">
        <v>44501</v>
      </c>
      <c r="BB291" s="568" t="s">
        <v>1365</v>
      </c>
      <c r="BC291" s="1174">
        <f>SUMIFS(D284:D305,H284:H305,BB291,G284:G305,BC283)</f>
        <v>0</v>
      </c>
      <c r="BD291" s="1174">
        <f>SUMIFS(D284:D305,H284:H305,BB291,G284:G305,BD283)</f>
        <v>0</v>
      </c>
      <c r="BE291" s="1174">
        <f>SUMIFS(D284:D305,H284:H305,BB291,G284:G305,BE283)</f>
        <v>0</v>
      </c>
      <c r="BF291" s="1174">
        <f>SUMIFS(D308:D325,H308:H325,BB291,G308:G325,BF283)</f>
        <v>0</v>
      </c>
      <c r="BG291" s="1174">
        <f>SUMIFS(D308:D325,H308:H325,BB291,G308:G325,BG283)</f>
        <v>0</v>
      </c>
      <c r="BH291" s="1174">
        <f>SUMIFS(D308:D325,H308:H325,BB291,G308:G325,BH283)</f>
        <v>0</v>
      </c>
      <c r="BI291" s="1174">
        <f t="shared" si="4"/>
        <v>0</v>
      </c>
      <c r="BJ291" s="1127">
        <f t="shared" si="1"/>
        <v>0</v>
      </c>
      <c r="BK291" s="1174"/>
      <c r="BL291" s="1174"/>
      <c r="BM291" s="1174"/>
      <c r="BN291" s="1174"/>
      <c r="BO291" s="1174"/>
      <c r="BP291" s="1174"/>
      <c r="BQ291" s="1174"/>
      <c r="BR291" s="1127">
        <f t="shared" si="2"/>
        <v>0</v>
      </c>
      <c r="BS291" s="1173">
        <f t="shared" si="3"/>
        <v>112.97799999999999</v>
      </c>
    </row>
    <row r="292" spans="1:71" ht="16.5" customHeight="1" thickBot="1">
      <c r="A292" s="1208">
        <v>9</v>
      </c>
      <c r="B292" s="1209" t="s">
        <v>1617</v>
      </c>
      <c r="C292" s="1210">
        <v>1</v>
      </c>
      <c r="D292" s="1133">
        <v>800</v>
      </c>
      <c r="E292" s="1211" t="s">
        <v>1606</v>
      </c>
      <c r="F292" s="1212" t="s">
        <v>524</v>
      </c>
      <c r="G292" s="1212" t="s">
        <v>415</v>
      </c>
      <c r="H292" s="1210" t="s">
        <v>1364</v>
      </c>
      <c r="I292" s="1133"/>
      <c r="J292" s="1133"/>
      <c r="K292" s="1133"/>
      <c r="L292" s="1133">
        <v>800</v>
      </c>
      <c r="M292" s="442"/>
      <c r="N292" s="1124"/>
      <c r="O292" s="1124"/>
      <c r="P292" s="1124"/>
      <c r="Q292" s="1124"/>
      <c r="R292" s="1124"/>
      <c r="S292" s="1124"/>
      <c r="T292" s="1124"/>
      <c r="U292" s="1127"/>
      <c r="BA292" s="568">
        <v>44531</v>
      </c>
      <c r="BB292" s="568" t="s">
        <v>1366</v>
      </c>
      <c r="BC292" s="1174">
        <f>SUMIFS(D284:D305,H284:H305,BB292,G284:G305,BC283)</f>
        <v>0</v>
      </c>
      <c r="BD292" s="1174">
        <f>SUMIFS(D284:D305,H284:H305,BB292,G284:G305,BD283)</f>
        <v>800</v>
      </c>
      <c r="BE292" s="1174">
        <f>SUMIFS(D284:D305,H284:H305,BB292,G284:G305,BE283)</f>
        <v>0</v>
      </c>
      <c r="BF292" s="1174">
        <f>SUMIFS(D308:D325,H308:H325,BB292,G308:G325,BF283)</f>
        <v>0</v>
      </c>
      <c r="BG292" s="1174">
        <f>SUMIFS(D308:D325,H308:H325,BB292,G308:G325,BG283)</f>
        <v>100</v>
      </c>
      <c r="BH292" s="1174">
        <f>SUMIFS(D308:D325,H308:H325,BB292,G308:G325,BH283)</f>
        <v>0</v>
      </c>
      <c r="BI292" s="1174">
        <f t="shared" si="4"/>
        <v>0</v>
      </c>
      <c r="BJ292" s="1127">
        <f t="shared" si="1"/>
        <v>900</v>
      </c>
      <c r="BK292" s="1174"/>
      <c r="BL292" s="1174"/>
      <c r="BM292" s="1174"/>
      <c r="BN292" s="1174"/>
      <c r="BO292" s="1174"/>
      <c r="BP292" s="1174"/>
      <c r="BQ292" s="1174"/>
      <c r="BR292" s="1127">
        <f t="shared" si="2"/>
        <v>0</v>
      </c>
      <c r="BS292" s="1173">
        <f t="shared" si="3"/>
        <v>112.97799999999999</v>
      </c>
    </row>
    <row r="293" spans="1:71" ht="15.75" thickBot="1">
      <c r="A293" s="1134" t="s">
        <v>1291</v>
      </c>
      <c r="B293" s="1135"/>
      <c r="C293" s="1135"/>
      <c r="D293" s="1135">
        <v>5400</v>
      </c>
      <c r="E293" s="1135"/>
      <c r="F293" s="1135"/>
      <c r="G293" s="1135"/>
      <c r="H293" s="1135"/>
      <c r="I293" s="1135">
        <v>0</v>
      </c>
      <c r="J293" s="1135">
        <v>1960</v>
      </c>
      <c r="K293" s="1135">
        <v>1320</v>
      </c>
      <c r="L293" s="1136">
        <v>2120</v>
      </c>
      <c r="M293" s="442"/>
      <c r="N293" s="1124"/>
      <c r="O293" s="1124"/>
      <c r="P293" s="1124"/>
      <c r="Q293" s="1124"/>
      <c r="R293" s="1124"/>
      <c r="S293" s="1124"/>
      <c r="T293" s="1124"/>
      <c r="U293" s="1127"/>
      <c r="BA293" s="568">
        <v>44562</v>
      </c>
      <c r="BB293" s="568" t="s">
        <v>1367</v>
      </c>
      <c r="BC293" s="1174">
        <f>SUMIFS(D284:D305,H284:H305,BB293,G284:G305,BC283)</f>
        <v>0</v>
      </c>
      <c r="BD293" s="1174">
        <f>SUMIFS(D284:D305,H284:H305,BB293,G284:G305,BD283)</f>
        <v>0</v>
      </c>
      <c r="BE293" s="1174">
        <f>SUMIFS(D284:D305,H284:H305,BB293,G284:G305,BE283)</f>
        <v>0</v>
      </c>
      <c r="BF293" s="1174">
        <f>SUMIFS(D308:D325,H308:H325,BB293,G308:G325,BF283)</f>
        <v>0</v>
      </c>
      <c r="BG293" s="1174">
        <f>SUMIFS(D308:D325,H308:H325,BB293,G308:G325,BG283)</f>
        <v>0</v>
      </c>
      <c r="BH293" s="1174">
        <f>SUMIFS(D308:D325,H308:H325,BB293,G308:G325,BH283)</f>
        <v>0</v>
      </c>
      <c r="BI293" s="1174">
        <f t="shared" si="4"/>
        <v>0</v>
      </c>
      <c r="BJ293" s="1127">
        <f t="shared" si="1"/>
        <v>0</v>
      </c>
      <c r="BK293" s="1174"/>
      <c r="BL293" s="1174"/>
      <c r="BM293" s="1174"/>
      <c r="BN293" s="1174"/>
      <c r="BO293" s="1174"/>
      <c r="BP293" s="1174"/>
      <c r="BQ293" s="1174"/>
      <c r="BR293" s="1127">
        <f t="shared" si="2"/>
        <v>0</v>
      </c>
      <c r="BS293" s="1173">
        <f t="shared" si="3"/>
        <v>112.97799999999999</v>
      </c>
    </row>
    <row r="294" spans="1:71" ht="23.25" thickBot="1">
      <c r="A294" s="1137" t="s">
        <v>474</v>
      </c>
      <c r="B294" s="1121"/>
      <c r="C294" s="1125"/>
      <c r="D294" s="1125"/>
      <c r="E294" s="1125"/>
      <c r="F294" s="1138"/>
      <c r="G294" s="1125"/>
      <c r="H294" s="1125"/>
      <c r="I294" s="1125"/>
      <c r="J294" s="1125"/>
      <c r="K294" s="1125"/>
      <c r="L294" s="1125"/>
      <c r="M294" s="442"/>
      <c r="N294" s="1124"/>
      <c r="O294" s="1124"/>
      <c r="P294" s="1124"/>
      <c r="Q294" s="1124"/>
      <c r="R294" s="1124"/>
      <c r="S294" s="1124"/>
      <c r="T294" s="1124"/>
      <c r="U294" s="1127"/>
      <c r="BA294" s="568">
        <v>44593</v>
      </c>
      <c r="BB294" s="568" t="s">
        <v>1368</v>
      </c>
      <c r="BC294" s="1174">
        <f>SUMIFS(D284:D305,H284:H305,BB294,G284:G305,BC283)</f>
        <v>0</v>
      </c>
      <c r="BD294" s="1174">
        <f>SUMIFS(D284:D305,H284:H305,BB294,G284:G305,BD283)</f>
        <v>0</v>
      </c>
      <c r="BE294" s="1174">
        <f>SUMIFS(D284:D305,H284:H305,BB294,G284:G305,BE283)</f>
        <v>0</v>
      </c>
      <c r="BF294" s="1174">
        <f>SUMIFS(D308:D325,H308:H325,BB294,G308:G325,BF283)</f>
        <v>0</v>
      </c>
      <c r="BG294" s="1174">
        <f>SUMIFS(D308:D325,H308:H325,BB294,G308:G325,BG283)</f>
        <v>0</v>
      </c>
      <c r="BH294" s="1174">
        <f>SUMIFS(D308:D325,H308:H325,BB294,G308:G325,BH283)</f>
        <v>0</v>
      </c>
      <c r="BI294" s="1174">
        <f t="shared" si="4"/>
        <v>0</v>
      </c>
      <c r="BJ294" s="1127">
        <f t="shared" si="1"/>
        <v>0</v>
      </c>
      <c r="BK294" s="1174"/>
      <c r="BL294" s="1174"/>
      <c r="BM294" s="1174"/>
      <c r="BN294" s="1174"/>
      <c r="BO294" s="1174"/>
      <c r="BP294" s="1174"/>
      <c r="BQ294" s="1174"/>
      <c r="BR294" s="1127">
        <f t="shared" si="2"/>
        <v>0</v>
      </c>
      <c r="BS294" s="1173">
        <f t="shared" si="3"/>
        <v>112.97799999999999</v>
      </c>
    </row>
    <row r="295" spans="1:71" ht="13.5" thickBot="1">
      <c r="A295" s="1125">
        <v>1</v>
      </c>
      <c r="B295" s="1121" t="s">
        <v>1618</v>
      </c>
      <c r="C295" s="1125">
        <v>8</v>
      </c>
      <c r="D295" s="1125">
        <v>660</v>
      </c>
      <c r="E295" s="1125" t="s">
        <v>454</v>
      </c>
      <c r="F295" s="1138" t="s">
        <v>489</v>
      </c>
      <c r="G295" s="1125" t="s">
        <v>413</v>
      </c>
      <c r="H295" s="1125" t="s">
        <v>1361</v>
      </c>
      <c r="I295" s="1129">
        <v>660</v>
      </c>
      <c r="J295" s="1129"/>
      <c r="K295" s="1129"/>
      <c r="L295" s="1129"/>
      <c r="M295" s="442"/>
      <c r="N295" s="1124"/>
      <c r="O295" s="1124"/>
      <c r="P295" s="1124"/>
      <c r="Q295" s="1124"/>
      <c r="R295" s="1124"/>
      <c r="S295" s="1124"/>
      <c r="T295" s="1124"/>
      <c r="U295" s="1127"/>
      <c r="BA295" s="568">
        <v>44621</v>
      </c>
      <c r="BB295" s="568" t="s">
        <v>1364</v>
      </c>
      <c r="BC295" s="1174">
        <f>SUMIFS(D284:D305,H284:H305,BB295,G284:G305,BC283)</f>
        <v>2120</v>
      </c>
      <c r="BD295" s="1174">
        <f>SUMIFS(D284:D305,H284:H305,BB295,G284:G305,BD283)</f>
        <v>0</v>
      </c>
      <c r="BE295" s="1174">
        <f>SUMIFS(D284:D305,H284:H305,BB295,G284:G305,BE283)</f>
        <v>0</v>
      </c>
      <c r="BF295" s="1174">
        <f>SUMIFS(D308:D325,H308:H325,BB295,G308:G325,BF283)</f>
        <v>0</v>
      </c>
      <c r="BG295" s="1174">
        <f>SUMIFS(D308:D325,H308:H325,BB295,G308:G325,BG283)</f>
        <v>0</v>
      </c>
      <c r="BH295" s="1174">
        <f>SUMIFS(D308:D325,H308:H325,BB295,G308:G325,BH283)</f>
        <v>0</v>
      </c>
      <c r="BI295" s="1174">
        <f t="shared" si="4"/>
        <v>0</v>
      </c>
      <c r="BJ295" s="1127">
        <f t="shared" si="1"/>
        <v>2120</v>
      </c>
      <c r="BK295" s="1174"/>
      <c r="BL295" s="1174"/>
      <c r="BM295" s="1174"/>
      <c r="BN295" s="1174"/>
      <c r="BO295" s="1174"/>
      <c r="BP295" s="1174"/>
      <c r="BQ295" s="1174"/>
      <c r="BR295" s="1127">
        <f t="shared" si="2"/>
        <v>0</v>
      </c>
      <c r="BS295" s="1173">
        <f t="shared" si="3"/>
        <v>112.97799999999999</v>
      </c>
    </row>
    <row r="296" spans="1:71" ht="13.5" thickBot="1">
      <c r="A296" s="1125">
        <v>2</v>
      </c>
      <c r="B296" s="1121" t="s">
        <v>1619</v>
      </c>
      <c r="C296" s="1125">
        <v>4</v>
      </c>
      <c r="D296" s="1125">
        <v>270</v>
      </c>
      <c r="E296" s="1125" t="s">
        <v>1620</v>
      </c>
      <c r="F296" s="1138" t="s">
        <v>524</v>
      </c>
      <c r="G296" s="1125" t="s">
        <v>413</v>
      </c>
      <c r="H296" s="1125" t="s">
        <v>1360</v>
      </c>
      <c r="I296" s="1129"/>
      <c r="J296" s="1129">
        <v>270</v>
      </c>
      <c r="K296" s="1129"/>
      <c r="L296" s="1129" t="s">
        <v>426</v>
      </c>
      <c r="M296" s="1305"/>
      <c r="N296" s="1317"/>
      <c r="O296" s="1317"/>
      <c r="P296" s="1317"/>
      <c r="Q296" s="1317"/>
      <c r="R296" s="1317"/>
      <c r="S296" s="1317"/>
      <c r="T296" s="1317"/>
      <c r="U296" s="1317"/>
      <c r="BA296" s="12"/>
      <c r="BB296" s="12"/>
      <c r="BC296" s="1175">
        <f>SUM(BC284:BC295)</f>
        <v>5400</v>
      </c>
      <c r="BD296" s="1175">
        <f t="shared" ref="BD296:BJ296" si="5">SUM(BD284:BD295)</f>
        <v>4360</v>
      </c>
      <c r="BE296" s="1175">
        <f t="shared" si="5"/>
        <v>525</v>
      </c>
      <c r="BF296" s="1175">
        <f t="shared" si="5"/>
        <v>0</v>
      </c>
      <c r="BG296" s="1175">
        <f t="shared" si="5"/>
        <v>100</v>
      </c>
      <c r="BH296" s="1175">
        <f t="shared" si="5"/>
        <v>112.97799999999999</v>
      </c>
      <c r="BI296" s="1175">
        <f t="shared" si="5"/>
        <v>700</v>
      </c>
      <c r="BJ296" s="1175">
        <f t="shared" si="5"/>
        <v>11197.977999999999</v>
      </c>
      <c r="BK296" s="1175">
        <f>SUM(BK284:BK295)</f>
        <v>0</v>
      </c>
      <c r="BL296" s="1175">
        <f t="shared" ref="BL296:BR296" si="6">SUM(BL284:BL295)</f>
        <v>0</v>
      </c>
      <c r="BM296" s="1175">
        <f t="shared" si="6"/>
        <v>0</v>
      </c>
      <c r="BN296" s="1175">
        <f t="shared" si="6"/>
        <v>0</v>
      </c>
      <c r="BO296" s="1175">
        <f t="shared" si="6"/>
        <v>0</v>
      </c>
      <c r="BP296" s="1175">
        <f t="shared" si="6"/>
        <v>112.97799999999999</v>
      </c>
      <c r="BQ296" s="1175">
        <f t="shared" si="6"/>
        <v>0</v>
      </c>
      <c r="BR296" s="1175">
        <f t="shared" si="6"/>
        <v>112.97799999999999</v>
      </c>
      <c r="BS296" s="1173">
        <f>BS295</f>
        <v>112.97799999999999</v>
      </c>
    </row>
    <row r="297" spans="1:71" ht="23.25" thickBot="1">
      <c r="A297" s="1125">
        <v>3</v>
      </c>
      <c r="B297" s="1121" t="s">
        <v>1621</v>
      </c>
      <c r="C297" s="1125">
        <v>1</v>
      </c>
      <c r="D297" s="1125">
        <v>660</v>
      </c>
      <c r="E297" s="1125" t="s">
        <v>177</v>
      </c>
      <c r="F297" s="1138" t="s">
        <v>626</v>
      </c>
      <c r="G297" s="1125" t="s">
        <v>413</v>
      </c>
      <c r="H297" s="1125" t="s">
        <v>1362</v>
      </c>
      <c r="I297" s="1129"/>
      <c r="J297" s="1129">
        <v>660</v>
      </c>
      <c r="K297" s="1129"/>
      <c r="L297" s="1129" t="s">
        <v>426</v>
      </c>
    </row>
    <row r="298" spans="1:71" ht="23.25" thickBot="1">
      <c r="A298" s="1125">
        <v>4</v>
      </c>
      <c r="B298" s="1121" t="s">
        <v>1622</v>
      </c>
      <c r="C298" s="1125">
        <v>1</v>
      </c>
      <c r="D298" s="1125">
        <v>800</v>
      </c>
      <c r="E298" s="1125" t="s">
        <v>1623</v>
      </c>
      <c r="F298" s="1138" t="s">
        <v>530</v>
      </c>
      <c r="G298" s="1125" t="s">
        <v>413</v>
      </c>
      <c r="H298" s="1125" t="s">
        <v>1362</v>
      </c>
      <c r="I298" s="1129"/>
      <c r="J298" s="1129">
        <v>800</v>
      </c>
      <c r="K298" s="1129"/>
      <c r="L298" s="1129"/>
    </row>
    <row r="299" spans="1:71" ht="23.25" thickBot="1">
      <c r="A299" s="1123">
        <v>5</v>
      </c>
      <c r="B299" s="1121" t="s">
        <v>1624</v>
      </c>
      <c r="C299" s="1125">
        <v>1</v>
      </c>
      <c r="D299" s="1125">
        <v>800</v>
      </c>
      <c r="E299" s="1125" t="s">
        <v>1625</v>
      </c>
      <c r="F299" s="1138" t="s">
        <v>508</v>
      </c>
      <c r="G299" s="1125" t="s">
        <v>413</v>
      </c>
      <c r="H299" s="1125" t="s">
        <v>1366</v>
      </c>
      <c r="I299" s="1129"/>
      <c r="J299" s="1129"/>
      <c r="K299" s="1129">
        <v>800</v>
      </c>
      <c r="L299" s="1129"/>
      <c r="BH299" s="1116">
        <f>MONTH(TY)-4</f>
        <v>2</v>
      </c>
      <c r="BI299" s="829">
        <f ca="1">SUM(BJ284:OFFSET(BJ284,MONTH(TY)-4,0))</f>
        <v>1297.9780000000001</v>
      </c>
    </row>
    <row r="300" spans="1:71" ht="23.25" thickBot="1">
      <c r="A300" s="1139">
        <v>6</v>
      </c>
      <c r="B300" s="1121" t="s">
        <v>1626</v>
      </c>
      <c r="C300" s="1125" t="s">
        <v>1627</v>
      </c>
      <c r="D300" s="1125">
        <v>370</v>
      </c>
      <c r="E300" s="1125" t="s">
        <v>273</v>
      </c>
      <c r="F300" s="1138" t="s">
        <v>506</v>
      </c>
      <c r="G300" s="1125" t="s">
        <v>413</v>
      </c>
      <c r="H300" s="1125" t="s">
        <v>1360</v>
      </c>
      <c r="I300" s="1129"/>
      <c r="J300" s="1129">
        <v>370</v>
      </c>
      <c r="K300" s="1129"/>
      <c r="L300" s="1129"/>
    </row>
    <row r="301" spans="1:71" ht="16.5" customHeight="1" thickBot="1">
      <c r="A301" s="1213">
        <v>7</v>
      </c>
      <c r="B301" s="1214" t="s">
        <v>1628</v>
      </c>
      <c r="C301" s="1215">
        <v>1</v>
      </c>
      <c r="D301" s="1140">
        <v>800</v>
      </c>
      <c r="E301" s="1216" t="s">
        <v>1623</v>
      </c>
      <c r="F301" s="1217" t="s">
        <v>530</v>
      </c>
      <c r="G301" s="1217" t="s">
        <v>413</v>
      </c>
      <c r="H301" s="1218" t="s">
        <v>1363</v>
      </c>
      <c r="I301" s="1141"/>
      <c r="J301" s="1142"/>
      <c r="K301" s="1142">
        <v>800</v>
      </c>
      <c r="L301" s="1143" t="s">
        <v>426</v>
      </c>
    </row>
    <row r="302" spans="1:71" ht="16.5" customHeight="1" thickBot="1">
      <c r="A302" s="1213" t="s">
        <v>1292</v>
      </c>
      <c r="B302" s="1214"/>
      <c r="C302" s="1214"/>
      <c r="D302" s="1214">
        <v>4360</v>
      </c>
      <c r="E302" s="1214"/>
      <c r="F302" s="1214"/>
      <c r="G302" s="1214"/>
      <c r="H302" s="1214"/>
      <c r="I302" s="1214">
        <v>660</v>
      </c>
      <c r="J302" s="1214">
        <v>2100</v>
      </c>
      <c r="K302" s="1214">
        <v>1600</v>
      </c>
      <c r="L302" s="1219">
        <v>0</v>
      </c>
    </row>
    <row r="303" spans="1:71" ht="13.5" thickBot="1">
      <c r="A303" s="1121" t="s">
        <v>426</v>
      </c>
      <c r="B303" s="1121"/>
      <c r="C303" s="1125"/>
      <c r="D303" s="1125"/>
      <c r="E303" s="1125"/>
      <c r="F303" s="1121"/>
      <c r="G303" s="1125"/>
      <c r="H303" s="1125"/>
      <c r="I303" s="1125"/>
      <c r="J303" s="1121"/>
      <c r="K303" s="1121"/>
      <c r="L303" s="1125"/>
      <c r="M303" s="1144"/>
      <c r="N303" s="1144"/>
      <c r="O303" s="1144"/>
      <c r="P303" s="1144"/>
      <c r="Q303" s="1144"/>
      <c r="R303" s="1144"/>
      <c r="S303" s="1144"/>
      <c r="T303" s="1144"/>
      <c r="U303" s="1144"/>
    </row>
    <row r="304" spans="1:71" ht="16.5" customHeight="1" thickBot="1">
      <c r="A304" s="1213">
        <v>1</v>
      </c>
      <c r="B304" s="1214" t="s">
        <v>1629</v>
      </c>
      <c r="C304" s="1219">
        <v>1</v>
      </c>
      <c r="D304" s="1141">
        <v>525</v>
      </c>
      <c r="E304" s="1213" t="s">
        <v>1630</v>
      </c>
      <c r="F304" s="1214" t="s">
        <v>508</v>
      </c>
      <c r="G304" s="1214" t="s">
        <v>414</v>
      </c>
      <c r="H304" s="1219" t="s">
        <v>1357</v>
      </c>
      <c r="I304" s="1145">
        <v>525</v>
      </c>
      <c r="J304" s="1141"/>
      <c r="K304" s="1145"/>
      <c r="L304" s="1141"/>
    </row>
    <row r="305" spans="1:21" ht="16.5" customHeight="1" thickBot="1">
      <c r="A305" s="1213" t="s">
        <v>1293</v>
      </c>
      <c r="B305" s="1214"/>
      <c r="C305" s="1219"/>
      <c r="D305" s="1146">
        <v>525</v>
      </c>
      <c r="E305" s="1220"/>
      <c r="F305" s="1221"/>
      <c r="G305" s="1221"/>
      <c r="H305" s="1222"/>
      <c r="I305" s="1146">
        <v>525</v>
      </c>
      <c r="J305" s="1146">
        <v>0</v>
      </c>
      <c r="K305" s="1146">
        <v>0</v>
      </c>
      <c r="L305" s="1146">
        <v>0</v>
      </c>
    </row>
    <row r="306" spans="1:21" ht="15.75" customHeight="1">
      <c r="A306" s="1223" t="s">
        <v>1294</v>
      </c>
      <c r="B306" s="1224"/>
      <c r="C306" s="1224"/>
      <c r="D306" s="1224">
        <v>10285</v>
      </c>
      <c r="E306" s="1224"/>
      <c r="F306" s="1224"/>
      <c r="G306" s="1224"/>
      <c r="H306" s="1224"/>
      <c r="I306" s="1224">
        <v>1185</v>
      </c>
      <c r="J306" s="1224">
        <v>4060</v>
      </c>
      <c r="K306" s="1224">
        <v>2920</v>
      </c>
      <c r="L306" s="1225">
        <v>2120</v>
      </c>
    </row>
    <row r="307" spans="1:21" ht="16.5" customHeight="1" thickBot="1">
      <c r="A307" s="1226" t="s">
        <v>1295</v>
      </c>
      <c r="B307" s="1205"/>
      <c r="C307" s="1205"/>
      <c r="D307" s="1205"/>
      <c r="E307" s="1205"/>
      <c r="F307" s="1205"/>
      <c r="G307" s="1205"/>
      <c r="H307" s="1205"/>
      <c r="I307" s="1205"/>
      <c r="J307" s="1205"/>
      <c r="K307" s="1205"/>
      <c r="L307" s="1227"/>
    </row>
    <row r="308" spans="1:21" ht="23.25" thickBot="1">
      <c r="A308" s="1147" t="s">
        <v>8</v>
      </c>
      <c r="B308" s="1148"/>
      <c r="C308" s="1149"/>
      <c r="D308" s="1149"/>
      <c r="E308" s="1149"/>
      <c r="F308" s="1121"/>
      <c r="G308" s="1150"/>
      <c r="H308" s="1151"/>
      <c r="I308" s="1152"/>
      <c r="J308" s="1131"/>
      <c r="K308" s="1125"/>
      <c r="L308" s="1149"/>
    </row>
    <row r="309" spans="1:21" ht="13.5" thickBot="1">
      <c r="A309" s="1123"/>
      <c r="B309" s="1148"/>
      <c r="C309" s="1122"/>
      <c r="D309" s="1122"/>
      <c r="E309" s="1149"/>
      <c r="F309" s="1121"/>
      <c r="G309" s="1150"/>
      <c r="H309" s="1151"/>
      <c r="I309" s="1128"/>
      <c r="J309" s="1131"/>
      <c r="K309" s="1125"/>
      <c r="L309" s="1149"/>
    </row>
    <row r="310" spans="1:21" ht="34.5" thickBot="1">
      <c r="A310" s="1123" t="s">
        <v>1291</v>
      </c>
      <c r="B310" s="1148"/>
      <c r="C310" s="1122"/>
      <c r="D310" s="1122">
        <v>0</v>
      </c>
      <c r="E310" s="1149"/>
      <c r="F310" s="1121"/>
      <c r="G310" s="1150"/>
      <c r="H310" s="1151"/>
      <c r="I310" s="1128">
        <v>0</v>
      </c>
      <c r="J310" s="1131">
        <v>0</v>
      </c>
      <c r="K310" s="1125">
        <v>0</v>
      </c>
      <c r="L310" s="1149">
        <v>0</v>
      </c>
    </row>
    <row r="311" spans="1:21" ht="23.25" thickBot="1">
      <c r="A311" s="1123" t="s">
        <v>1296</v>
      </c>
      <c r="B311" s="1148"/>
      <c r="C311" s="1122"/>
      <c r="D311" s="1122"/>
      <c r="E311" s="1149"/>
      <c r="F311" s="1121"/>
      <c r="G311" s="1150"/>
      <c r="H311" s="1151"/>
      <c r="I311" s="1128"/>
      <c r="J311" s="1131"/>
      <c r="K311" s="1125"/>
      <c r="L311" s="1149"/>
    </row>
    <row r="312" spans="1:21" ht="13.5" thickBot="1">
      <c r="A312" s="1123">
        <v>1</v>
      </c>
      <c r="B312" s="1153" t="s">
        <v>1631</v>
      </c>
      <c r="C312" s="1122">
        <v>1</v>
      </c>
      <c r="D312" s="1122">
        <v>30</v>
      </c>
      <c r="E312" s="1122" t="s">
        <v>277</v>
      </c>
      <c r="F312" s="1122" t="s">
        <v>1632</v>
      </c>
      <c r="G312" s="1154" t="s">
        <v>413</v>
      </c>
      <c r="H312" s="1151" t="s">
        <v>1366</v>
      </c>
      <c r="I312" s="1128"/>
      <c r="J312" s="1131"/>
      <c r="K312" s="1125">
        <v>30</v>
      </c>
      <c r="L312" s="1126"/>
    </row>
    <row r="313" spans="1:21" ht="13.5" thickBot="1">
      <c r="A313" s="1123">
        <v>2</v>
      </c>
      <c r="B313" s="1153" t="s">
        <v>1631</v>
      </c>
      <c r="C313" s="1122">
        <v>2</v>
      </c>
      <c r="D313" s="1122">
        <v>10</v>
      </c>
      <c r="E313" s="1122" t="s">
        <v>277</v>
      </c>
      <c r="F313" s="1122" t="s">
        <v>1632</v>
      </c>
      <c r="G313" s="1154" t="s">
        <v>413</v>
      </c>
      <c r="H313" s="1151" t="s">
        <v>1366</v>
      </c>
      <c r="I313" s="1128"/>
      <c r="J313" s="1131"/>
      <c r="K313" s="1125">
        <v>10</v>
      </c>
      <c r="L313" s="1126"/>
    </row>
    <row r="314" spans="1:21" ht="16.5" customHeight="1" thickBot="1">
      <c r="A314" s="1208">
        <v>3</v>
      </c>
      <c r="B314" s="1212" t="s">
        <v>1633</v>
      </c>
      <c r="C314" s="1210">
        <v>1</v>
      </c>
      <c r="D314" s="1133">
        <v>30</v>
      </c>
      <c r="E314" s="1211" t="s">
        <v>277</v>
      </c>
      <c r="F314" s="1212" t="s">
        <v>1632</v>
      </c>
      <c r="G314" s="1212" t="s">
        <v>413</v>
      </c>
      <c r="H314" s="1210" t="s">
        <v>1366</v>
      </c>
      <c r="I314" s="1133"/>
      <c r="J314" s="1133"/>
      <c r="K314" s="1133">
        <v>30</v>
      </c>
      <c r="L314" s="1155"/>
    </row>
    <row r="315" spans="1:21" ht="16.5" customHeight="1" thickBot="1">
      <c r="A315" s="1228">
        <v>4</v>
      </c>
      <c r="B315" s="1229" t="s">
        <v>1633</v>
      </c>
      <c r="C315" s="1229">
        <v>2</v>
      </c>
      <c r="D315" s="1229">
        <v>30</v>
      </c>
      <c r="E315" s="1229" t="s">
        <v>277</v>
      </c>
      <c r="F315" s="1229" t="s">
        <v>1632</v>
      </c>
      <c r="G315" s="1229" t="s">
        <v>413</v>
      </c>
      <c r="H315" s="1229" t="s">
        <v>1366</v>
      </c>
      <c r="I315" s="1229"/>
      <c r="J315" s="1229"/>
      <c r="K315" s="1229">
        <v>30</v>
      </c>
      <c r="L315" s="1230"/>
    </row>
    <row r="316" spans="1:21" ht="23.25" thickBot="1">
      <c r="A316" s="1125" t="s">
        <v>1292</v>
      </c>
      <c r="B316" s="1121"/>
      <c r="C316" s="1125"/>
      <c r="D316" s="1125">
        <v>100</v>
      </c>
      <c r="E316" s="1125"/>
      <c r="F316" s="1121"/>
      <c r="G316" s="1125"/>
      <c r="H316" s="1156"/>
      <c r="I316" s="1125">
        <v>0</v>
      </c>
      <c r="J316" s="1125">
        <v>0</v>
      </c>
      <c r="K316" s="1125">
        <v>100</v>
      </c>
      <c r="L316" s="1125">
        <v>0</v>
      </c>
    </row>
    <row r="317" spans="1:21" ht="23.25" thickBot="1">
      <c r="A317" s="1125" t="s">
        <v>1297</v>
      </c>
      <c r="B317" s="1121"/>
      <c r="C317" s="1125"/>
      <c r="D317" s="1125"/>
      <c r="E317" s="1125"/>
      <c r="F317" s="1121"/>
      <c r="G317" s="1125"/>
      <c r="H317" s="1156"/>
      <c r="I317" s="1125"/>
      <c r="J317" s="1125"/>
      <c r="K317" s="1125"/>
      <c r="L317" s="1125"/>
    </row>
    <row r="318" spans="1:21" ht="16.5" customHeight="1" thickBot="1">
      <c r="A318" s="1208">
        <v>1</v>
      </c>
      <c r="B318" s="1212" t="s">
        <v>1634</v>
      </c>
      <c r="C318" s="1210">
        <v>1</v>
      </c>
      <c r="D318" s="1133">
        <v>60</v>
      </c>
      <c r="E318" s="1211" t="s">
        <v>1635</v>
      </c>
      <c r="F318" s="1212" t="s">
        <v>1636</v>
      </c>
      <c r="G318" s="1212" t="s">
        <v>414</v>
      </c>
      <c r="H318" s="1151">
        <v>44368</v>
      </c>
      <c r="I318" s="1133">
        <v>60</v>
      </c>
      <c r="J318" s="1133"/>
      <c r="K318" s="1133"/>
      <c r="L318" s="1133"/>
      <c r="M318" s="1157"/>
      <c r="N318" s="1157"/>
      <c r="O318" s="1157"/>
      <c r="P318" s="1157"/>
      <c r="Q318" s="1157"/>
      <c r="R318" s="1157"/>
      <c r="S318" s="1157"/>
      <c r="T318" s="1157"/>
      <c r="U318" s="1157"/>
    </row>
    <row r="319" spans="1:21" ht="16.5" customHeight="1" thickBot="1">
      <c r="A319" s="1208">
        <v>2</v>
      </c>
      <c r="B319" s="1212" t="s">
        <v>1634</v>
      </c>
      <c r="C319" s="1212">
        <v>2</v>
      </c>
      <c r="D319" s="1212">
        <v>60</v>
      </c>
      <c r="E319" s="1212" t="s">
        <v>1635</v>
      </c>
      <c r="F319" s="1212" t="s">
        <v>1636</v>
      </c>
      <c r="G319" s="1212" t="s">
        <v>414</v>
      </c>
      <c r="H319" s="1151">
        <v>44368</v>
      </c>
      <c r="I319" s="1212">
        <v>60</v>
      </c>
      <c r="J319" s="1212"/>
      <c r="K319" s="1212"/>
      <c r="L319" s="1231"/>
      <c r="M319" s="1157"/>
      <c r="N319" s="1157"/>
      <c r="O319" s="1157"/>
      <c r="P319" s="1157"/>
      <c r="Q319" s="1157"/>
      <c r="R319" s="1157"/>
      <c r="S319" s="1157"/>
      <c r="T319" s="1157"/>
      <c r="U319" s="1157"/>
    </row>
    <row r="320" spans="1:21" ht="45.75" thickBot="1">
      <c r="A320" s="1123">
        <v>3</v>
      </c>
      <c r="B320" s="1153" t="s">
        <v>1634</v>
      </c>
      <c r="C320" s="1122">
        <v>3</v>
      </c>
      <c r="D320" s="1122">
        <v>60</v>
      </c>
      <c r="E320" s="1122" t="s">
        <v>1635</v>
      </c>
      <c r="F320" s="1121" t="s">
        <v>1636</v>
      </c>
      <c r="G320" s="1153" t="s">
        <v>414</v>
      </c>
      <c r="H320" s="1151">
        <v>44368</v>
      </c>
      <c r="I320" s="1122">
        <v>60</v>
      </c>
      <c r="J320" s="1122"/>
      <c r="K320" s="1122"/>
      <c r="L320" s="1129"/>
    </row>
    <row r="321" spans="1:21" ht="45.75" thickBot="1">
      <c r="A321" s="1123">
        <v>4</v>
      </c>
      <c r="B321" s="1153" t="s">
        <v>1637</v>
      </c>
      <c r="C321" s="1122">
        <v>1</v>
      </c>
      <c r="D321" s="1122">
        <v>50</v>
      </c>
      <c r="E321" s="1122" t="s">
        <v>1638</v>
      </c>
      <c r="F321" s="1121" t="s">
        <v>490</v>
      </c>
      <c r="G321" s="1153" t="s">
        <v>414</v>
      </c>
      <c r="H321" s="1151">
        <v>44368</v>
      </c>
      <c r="I321" s="1132">
        <v>50</v>
      </c>
      <c r="J321" s="1122"/>
      <c r="K321" s="1122"/>
      <c r="L321" s="1129"/>
    </row>
    <row r="322" spans="1:21" ht="45.75" thickBot="1">
      <c r="A322" s="1123">
        <v>5</v>
      </c>
      <c r="B322" s="1153" t="s">
        <v>1637</v>
      </c>
      <c r="C322" s="1122">
        <v>2</v>
      </c>
      <c r="D322" s="1122">
        <v>50</v>
      </c>
      <c r="E322" s="1122" t="s">
        <v>1638</v>
      </c>
      <c r="F322" s="1121" t="s">
        <v>490</v>
      </c>
      <c r="G322" s="1153" t="s">
        <v>414</v>
      </c>
      <c r="H322" s="1151">
        <v>44368</v>
      </c>
      <c r="I322" s="1125">
        <v>50</v>
      </c>
      <c r="J322" s="1122"/>
      <c r="K322" s="1132"/>
      <c r="L322" s="1129"/>
      <c r="M322" s="1157"/>
      <c r="N322" s="1157"/>
      <c r="O322" s="1157"/>
      <c r="P322" s="1157"/>
      <c r="Q322" s="1157"/>
      <c r="R322" s="1157"/>
      <c r="S322" s="1157"/>
      <c r="T322" s="1157"/>
      <c r="U322" s="1157"/>
    </row>
    <row r="323" spans="1:21" ht="45.75" thickBot="1">
      <c r="A323" s="1123">
        <v>6</v>
      </c>
      <c r="B323" s="1153" t="s">
        <v>1639</v>
      </c>
      <c r="C323" s="1122">
        <v>1</v>
      </c>
      <c r="D323" s="1122">
        <v>56.488999999999997</v>
      </c>
      <c r="E323" s="1122" t="s">
        <v>1638</v>
      </c>
      <c r="F323" s="1122" t="s">
        <v>490</v>
      </c>
      <c r="G323" s="1153" t="s">
        <v>414</v>
      </c>
      <c r="H323" s="1151" t="s">
        <v>1357</v>
      </c>
      <c r="I323" s="1122">
        <v>56.488999999999997</v>
      </c>
      <c r="J323" s="1128"/>
      <c r="K323" s="1125"/>
      <c r="L323" s="1132"/>
      <c r="M323" s="1157"/>
      <c r="N323" s="1157"/>
      <c r="O323" s="1157"/>
      <c r="P323" s="1157"/>
      <c r="Q323" s="1157"/>
      <c r="R323" s="1157"/>
      <c r="S323" s="1157"/>
      <c r="T323" s="1157"/>
      <c r="U323" s="1157"/>
    </row>
    <row r="324" spans="1:21" ht="45.75" thickBot="1">
      <c r="A324" s="1123">
        <v>7</v>
      </c>
      <c r="B324" s="1153" t="s">
        <v>1639</v>
      </c>
      <c r="C324" s="1122">
        <v>2</v>
      </c>
      <c r="D324" s="1122">
        <v>56.488999999999997</v>
      </c>
      <c r="E324" s="1122" t="s">
        <v>1638</v>
      </c>
      <c r="F324" s="1122" t="s">
        <v>490</v>
      </c>
      <c r="G324" s="1153" t="s">
        <v>414</v>
      </c>
      <c r="H324" s="1151" t="s">
        <v>1357</v>
      </c>
      <c r="I324" s="1122">
        <v>56.488999999999997</v>
      </c>
      <c r="J324" s="1122"/>
      <c r="K324" s="1128"/>
      <c r="L324" s="1125"/>
      <c r="M324" s="1158"/>
      <c r="N324" s="1158"/>
      <c r="O324" s="1158"/>
      <c r="P324" s="1158"/>
      <c r="Q324" s="1158"/>
      <c r="R324" s="1158"/>
      <c r="S324" s="1158"/>
      <c r="T324" s="1158"/>
      <c r="U324" s="1158"/>
    </row>
    <row r="325" spans="1:21" ht="16.5" customHeight="1" thickBot="1">
      <c r="A325" s="1232" t="s">
        <v>1298</v>
      </c>
      <c r="B325" s="1233"/>
      <c r="C325" s="1234"/>
      <c r="D325" s="1159">
        <v>392.97799999999995</v>
      </c>
      <c r="E325" s="1235"/>
      <c r="F325" s="1233"/>
      <c r="G325" s="1233"/>
      <c r="H325" s="1234"/>
      <c r="I325" s="1133">
        <v>392.97799999999995</v>
      </c>
      <c r="J325" s="1133">
        <v>0</v>
      </c>
      <c r="K325" s="1133">
        <v>0</v>
      </c>
      <c r="L325" s="1133">
        <v>0</v>
      </c>
      <c r="M325" s="1158"/>
      <c r="N325" s="1158"/>
      <c r="O325" s="1158"/>
      <c r="P325" s="1158"/>
      <c r="Q325" s="1158"/>
      <c r="R325" s="1158"/>
      <c r="S325" s="1158"/>
      <c r="T325" s="1158"/>
      <c r="U325" s="1158"/>
    </row>
    <row r="326" spans="1:21" ht="16.5" customHeight="1" thickBot="1">
      <c r="A326" s="1213" t="s">
        <v>1299</v>
      </c>
      <c r="B326" s="1214"/>
      <c r="C326" s="1215"/>
      <c r="D326" s="1160">
        <v>492.97799999999995</v>
      </c>
      <c r="E326" s="1236"/>
      <c r="F326" s="1237"/>
      <c r="G326" s="1237"/>
      <c r="H326" s="1238"/>
      <c r="I326" s="1161">
        <v>392.97799999999995</v>
      </c>
      <c r="J326" s="1161">
        <v>0</v>
      </c>
      <c r="K326" s="1161">
        <v>100</v>
      </c>
      <c r="L326" s="1161">
        <v>0</v>
      </c>
      <c r="M326" s="1162"/>
      <c r="N326" s="1162"/>
      <c r="O326" s="1162"/>
      <c r="P326" s="1162"/>
      <c r="Q326" s="1162"/>
      <c r="R326" s="1162"/>
      <c r="S326" s="1162"/>
      <c r="T326" s="1162"/>
      <c r="U326" s="1162"/>
    </row>
    <row r="327" spans="1:21" ht="17.25" customHeight="1" thickTop="1" thickBot="1">
      <c r="A327" s="1239" t="s">
        <v>1300</v>
      </c>
      <c r="B327" s="1240"/>
      <c r="C327" s="1240"/>
      <c r="D327" s="1240"/>
      <c r="E327" s="1240"/>
      <c r="F327" s="1240"/>
      <c r="G327" s="1240"/>
      <c r="H327" s="1240"/>
      <c r="I327" s="1241"/>
      <c r="J327" s="1241"/>
      <c r="K327" s="1241"/>
      <c r="L327" s="1242"/>
      <c r="M327" s="1162"/>
      <c r="N327" s="1162"/>
      <c r="O327" s="1162"/>
      <c r="P327" s="1162"/>
      <c r="Q327" s="1162"/>
      <c r="R327" s="1162"/>
      <c r="S327" s="1162"/>
      <c r="T327" s="1162"/>
      <c r="U327" s="1162"/>
    </row>
    <row r="328" spans="1:21" ht="16.5" customHeight="1" thickBot="1">
      <c r="A328" s="1243" t="s">
        <v>448</v>
      </c>
      <c r="B328" s="1244"/>
      <c r="C328" s="1244"/>
      <c r="D328" s="1244"/>
      <c r="E328" s="1244"/>
      <c r="F328" s="1244"/>
      <c r="G328" s="1244"/>
      <c r="H328" s="1244"/>
      <c r="I328" s="1244"/>
      <c r="J328" s="1244"/>
      <c r="K328" s="1244"/>
      <c r="L328" s="1245"/>
      <c r="M328" s="1158"/>
      <c r="N328" s="1158"/>
      <c r="O328" s="1158"/>
      <c r="P328" s="1158"/>
      <c r="Q328" s="1158"/>
      <c r="R328" s="1158"/>
      <c r="S328" s="1158"/>
      <c r="T328" s="1158"/>
      <c r="U328" s="1158"/>
    </row>
    <row r="329" spans="1:21" ht="16.5" customHeight="1" thickBot="1">
      <c r="A329" s="1246">
        <v>1</v>
      </c>
      <c r="B329" s="1247" t="s">
        <v>1640</v>
      </c>
      <c r="C329" s="1247">
        <v>3</v>
      </c>
      <c r="D329" s="1247">
        <v>700</v>
      </c>
      <c r="E329" s="1247" t="s">
        <v>133</v>
      </c>
      <c r="F329" s="1247" t="s">
        <v>1382</v>
      </c>
      <c r="G329" s="1247" t="s">
        <v>415</v>
      </c>
      <c r="H329" s="1324" t="s">
        <v>1360</v>
      </c>
      <c r="I329" s="1163"/>
      <c r="J329" s="1163">
        <v>700</v>
      </c>
      <c r="K329" s="1163"/>
      <c r="L329" s="1164"/>
      <c r="M329" s="1157"/>
      <c r="N329" s="1157"/>
      <c r="O329" s="1157"/>
      <c r="P329" s="1157"/>
      <c r="Q329" s="1157"/>
      <c r="R329" s="1157"/>
      <c r="S329" s="1157"/>
      <c r="T329" s="1157"/>
      <c r="U329" s="1157"/>
    </row>
    <row r="330" spans="1:21" ht="16.5" customHeight="1" thickBot="1">
      <c r="A330" s="1246" t="s">
        <v>1291</v>
      </c>
      <c r="B330" s="1247"/>
      <c r="C330" s="1248"/>
      <c r="D330" s="1165">
        <v>700</v>
      </c>
      <c r="E330" s="1249"/>
      <c r="F330" s="1247"/>
      <c r="G330" s="1247"/>
      <c r="H330" s="1248"/>
      <c r="I330" s="1165">
        <v>0</v>
      </c>
      <c r="J330" s="1165">
        <v>700</v>
      </c>
      <c r="K330" s="1165">
        <v>0</v>
      </c>
      <c r="L330" s="1166">
        <v>0</v>
      </c>
      <c r="M330" s="1157"/>
      <c r="N330" s="1157"/>
      <c r="O330" s="1157"/>
      <c r="P330" s="1157"/>
      <c r="Q330" s="1157"/>
      <c r="R330" s="1157"/>
      <c r="S330" s="1157"/>
      <c r="T330" s="1157"/>
      <c r="U330" s="1157"/>
    </row>
    <row r="331" spans="1:21" ht="16.5" customHeight="1" thickBot="1">
      <c r="A331" s="1250" t="s">
        <v>1301</v>
      </c>
      <c r="B331" s="1251"/>
      <c r="C331" s="1252"/>
      <c r="D331" s="1167">
        <v>700</v>
      </c>
      <c r="E331" s="1253"/>
      <c r="F331" s="1251"/>
      <c r="G331" s="1251"/>
      <c r="H331" s="1252"/>
      <c r="I331" s="1167">
        <v>0</v>
      </c>
      <c r="J331" s="1167">
        <v>700</v>
      </c>
      <c r="K331" s="1167">
        <v>0</v>
      </c>
      <c r="L331" s="1168">
        <v>0</v>
      </c>
    </row>
    <row r="332" spans="1:21" ht="27" customHeight="1" thickTop="1" thickBot="1">
      <c r="A332" s="1254" t="s">
        <v>1504</v>
      </c>
      <c r="B332" s="1255"/>
      <c r="C332" s="1256"/>
      <c r="D332" s="1142">
        <v>11477.977999999999</v>
      </c>
      <c r="E332" s="1257"/>
      <c r="F332" s="1255"/>
      <c r="G332" s="1255"/>
      <c r="H332" s="1256"/>
      <c r="I332" s="1142">
        <v>1577.9780000000001</v>
      </c>
      <c r="J332" s="1142">
        <v>4760</v>
      </c>
      <c r="K332" s="1142">
        <v>3020</v>
      </c>
      <c r="L332" s="1142">
        <v>2120</v>
      </c>
    </row>
    <row r="335" spans="1:21">
      <c r="A335" s="1112" t="s">
        <v>1355</v>
      </c>
    </row>
    <row r="336" spans="1:21">
      <c r="F336" s="1116" t="s">
        <v>1641</v>
      </c>
      <c r="G336" s="1113">
        <v>44349</v>
      </c>
    </row>
    <row r="337" spans="1:8">
      <c r="A337" s="1116" t="s">
        <v>1302</v>
      </c>
    </row>
    <row r="338" spans="1:8">
      <c r="B338" s="1116" t="s">
        <v>1642</v>
      </c>
      <c r="F338" s="1116" t="s">
        <v>1643</v>
      </c>
    </row>
    <row r="340" spans="1:8">
      <c r="B340" s="1116" t="s">
        <v>442</v>
      </c>
      <c r="C340" s="1116" t="s">
        <v>752</v>
      </c>
      <c r="D340" s="1116" t="s">
        <v>1644</v>
      </c>
      <c r="F340" s="1116" t="s">
        <v>442</v>
      </c>
      <c r="G340" s="1116" t="s">
        <v>752</v>
      </c>
      <c r="H340" s="1116" t="s">
        <v>1644</v>
      </c>
    </row>
    <row r="342" spans="1:8">
      <c r="A342" s="1116" t="s">
        <v>1303</v>
      </c>
      <c r="B342" s="1116">
        <v>107440</v>
      </c>
      <c r="C342" s="1116">
        <v>110370</v>
      </c>
      <c r="D342" s="1116">
        <v>102.7271034996277</v>
      </c>
      <c r="F342" s="1116">
        <v>282750</v>
      </c>
      <c r="G342" s="1116">
        <v>331214</v>
      </c>
      <c r="H342" s="1116">
        <v>117.14022988505748</v>
      </c>
    </row>
    <row r="343" spans="1:8">
      <c r="A343" s="1116" t="s">
        <v>1304</v>
      </c>
      <c r="B343" s="1116">
        <v>17426</v>
      </c>
      <c r="C343" s="1116">
        <v>17107</v>
      </c>
      <c r="D343" s="1116">
        <v>98.169402042924375</v>
      </c>
      <c r="F343" s="1116">
        <v>31669</v>
      </c>
      <c r="G343" s="1116">
        <v>63665</v>
      </c>
      <c r="H343" s="1116">
        <v>201.03255549591083</v>
      </c>
    </row>
    <row r="344" spans="1:8">
      <c r="A344" s="1116" t="s">
        <v>1305</v>
      </c>
      <c r="B344" s="1116">
        <v>18674</v>
      </c>
      <c r="C344" s="1116">
        <v>16748</v>
      </c>
      <c r="D344" s="1116">
        <v>89.686194709221382</v>
      </c>
      <c r="F344" s="1116">
        <v>35363</v>
      </c>
      <c r="G344" s="1116">
        <v>57330</v>
      </c>
      <c r="H344" s="1116">
        <v>162.11859853519215</v>
      </c>
    </row>
    <row r="345" spans="1:8">
      <c r="A345" s="1116" t="s">
        <v>1306</v>
      </c>
      <c r="B345" s="1116">
        <v>20882</v>
      </c>
      <c r="C345" s="1116">
        <v>22101</v>
      </c>
      <c r="D345" s="1116">
        <v>105.83756345177665</v>
      </c>
      <c r="F345" s="1116">
        <v>47871</v>
      </c>
      <c r="G345" s="1116">
        <v>65554</v>
      </c>
      <c r="H345" s="1116">
        <v>136.93885651020449</v>
      </c>
    </row>
    <row r="346" spans="1:8">
      <c r="A346" s="1116" t="s">
        <v>1307</v>
      </c>
      <c r="B346" s="1116">
        <v>23712</v>
      </c>
      <c r="C346" s="1116">
        <v>28114</v>
      </c>
      <c r="D346" s="1116">
        <v>118.56443994601888</v>
      </c>
      <c r="F346" s="1116">
        <v>50542</v>
      </c>
      <c r="G346" s="1116">
        <v>62849</v>
      </c>
      <c r="H346" s="1116">
        <v>124.35004550670729</v>
      </c>
    </row>
    <row r="347" spans="1:8">
      <c r="A347" s="1116" t="s">
        <v>1308</v>
      </c>
      <c r="B347" s="1116">
        <v>23384</v>
      </c>
      <c r="C347" s="1116">
        <v>26300</v>
      </c>
      <c r="D347" s="1116">
        <v>112.47006500171057</v>
      </c>
      <c r="F347" s="1116">
        <v>45188</v>
      </c>
      <c r="G347" s="1116">
        <v>81816</v>
      </c>
      <c r="H347" s="1116">
        <v>181.05691776577854</v>
      </c>
    </row>
    <row r="348" spans="1:8">
      <c r="A348" s="1116" t="s">
        <v>1309</v>
      </c>
      <c r="B348" s="1116">
        <v>104400</v>
      </c>
      <c r="C348" s="1116">
        <v>75520</v>
      </c>
      <c r="D348" s="1116">
        <v>72.337164750957854</v>
      </c>
      <c r="F348" s="1116">
        <v>342889</v>
      </c>
      <c r="G348" s="1116">
        <v>296095</v>
      </c>
      <c r="H348" s="1116">
        <v>86.35301803207453</v>
      </c>
    </row>
    <row r="349" spans="1:8">
      <c r="A349" s="1116" t="s">
        <v>1314</v>
      </c>
      <c r="B349" s="1116">
        <v>19255</v>
      </c>
      <c r="C349" s="1116">
        <v>1550</v>
      </c>
      <c r="D349" s="1116">
        <v>8.0498571799532588</v>
      </c>
      <c r="F349" s="1116">
        <v>81545</v>
      </c>
      <c r="G349" s="1116">
        <v>11392</v>
      </c>
      <c r="H349" s="1116">
        <v>13.97020050278987</v>
      </c>
    </row>
    <row r="350" spans="1:8">
      <c r="A350" s="1116" t="s">
        <v>1310</v>
      </c>
      <c r="B350" s="1116">
        <v>15791</v>
      </c>
      <c r="C350" s="1116">
        <v>16750</v>
      </c>
      <c r="D350" s="1116">
        <v>106.07307960230511</v>
      </c>
      <c r="F350" s="1116">
        <v>63050</v>
      </c>
      <c r="G350" s="1116">
        <v>57575</v>
      </c>
      <c r="H350" s="1116">
        <v>91.316415543219662</v>
      </c>
    </row>
    <row r="351" spans="1:8">
      <c r="A351" s="1116" t="s">
        <v>1311</v>
      </c>
      <c r="B351" s="1116">
        <v>23621</v>
      </c>
      <c r="C351" s="1116">
        <v>11664</v>
      </c>
      <c r="D351" s="1116">
        <v>49.379789170653233</v>
      </c>
      <c r="F351" s="1116">
        <v>81716</v>
      </c>
      <c r="G351" s="1116">
        <v>68230</v>
      </c>
      <c r="H351" s="1116">
        <v>83.496500073425025</v>
      </c>
    </row>
    <row r="352" spans="1:8">
      <c r="A352" s="1116" t="s">
        <v>1312</v>
      </c>
      <c r="B352" s="1116">
        <v>22647</v>
      </c>
      <c r="C352" s="1116">
        <v>22437</v>
      </c>
      <c r="D352" s="1116">
        <v>99.072724864220433</v>
      </c>
      <c r="F352" s="1116">
        <v>62600</v>
      </c>
      <c r="G352" s="1116">
        <v>72705</v>
      </c>
      <c r="H352" s="1116">
        <v>116.14217252396166</v>
      </c>
    </row>
    <row r="353" spans="1:8">
      <c r="A353" s="1116" t="s">
        <v>1313</v>
      </c>
      <c r="B353" s="1116">
        <v>23086</v>
      </c>
      <c r="C353" s="1116">
        <v>23119</v>
      </c>
      <c r="D353" s="1116">
        <v>100.14294377544832</v>
      </c>
      <c r="F353" s="1116">
        <v>53978</v>
      </c>
      <c r="G353" s="1116">
        <v>86193</v>
      </c>
      <c r="H353" s="1116">
        <v>159.68172218311162</v>
      </c>
    </row>
    <row r="354" spans="1:8">
      <c r="A354" s="1116" t="s">
        <v>1314</v>
      </c>
    </row>
    <row r="355" spans="1:8">
      <c r="A355" s="1116" t="s">
        <v>1286</v>
      </c>
      <c r="B355" s="1116">
        <v>6564</v>
      </c>
      <c r="C355" s="1116">
        <v>1550</v>
      </c>
      <c r="D355" s="1116">
        <v>23.613650213284583</v>
      </c>
      <c r="F355" s="1116">
        <v>19785</v>
      </c>
      <c r="G355" s="1116">
        <v>11392</v>
      </c>
      <c r="H355" s="1116">
        <v>57.578973970179426</v>
      </c>
    </row>
    <row r="356" spans="1:8">
      <c r="A356" s="1116" t="s">
        <v>1315</v>
      </c>
      <c r="B356" s="1116">
        <v>747</v>
      </c>
      <c r="C356" s="1116">
        <v>532</v>
      </c>
      <c r="D356" s="1116">
        <v>71.218206157965199</v>
      </c>
      <c r="F356" s="1116">
        <v>6720</v>
      </c>
      <c r="G356" s="1116">
        <v>2615</v>
      </c>
      <c r="H356" s="1116">
        <v>38.913690476190474</v>
      </c>
    </row>
    <row r="357" spans="1:8">
      <c r="A357" s="1116" t="s">
        <v>1316</v>
      </c>
      <c r="B357" s="1116">
        <v>2127</v>
      </c>
      <c r="C357" s="1116">
        <v>167</v>
      </c>
      <c r="D357" s="1116">
        <v>7.8514339445228023</v>
      </c>
      <c r="F357" s="1116">
        <v>3100</v>
      </c>
      <c r="G357" s="1116">
        <v>5555</v>
      </c>
      <c r="H357" s="1116">
        <v>179.19354838709677</v>
      </c>
    </row>
    <row r="358" spans="1:8">
      <c r="A358" s="1116" t="s">
        <v>1317</v>
      </c>
      <c r="B358" s="1116">
        <v>3690</v>
      </c>
      <c r="C358" s="1116">
        <v>851</v>
      </c>
      <c r="D358" s="1116">
        <v>23.062330623306231</v>
      </c>
      <c r="F358" s="1116">
        <v>9965</v>
      </c>
      <c r="G358" s="1116">
        <v>3222</v>
      </c>
      <c r="H358" s="1116">
        <v>32.333166081284496</v>
      </c>
    </row>
    <row r="359" spans="1:8">
      <c r="A359" s="1116" t="s">
        <v>1287</v>
      </c>
      <c r="B359" s="1116">
        <v>8189</v>
      </c>
      <c r="C359" s="1116">
        <v>0</v>
      </c>
      <c r="D359" s="1116">
        <v>0</v>
      </c>
      <c r="F359" s="1116">
        <v>26485</v>
      </c>
      <c r="G359" s="1116">
        <v>0</v>
      </c>
      <c r="H359" s="1116">
        <v>0</v>
      </c>
    </row>
    <row r="360" spans="1:8">
      <c r="A360" s="1116" t="s">
        <v>1318</v>
      </c>
      <c r="B360" s="1116">
        <v>3068</v>
      </c>
      <c r="C360" s="1116">
        <v>0</v>
      </c>
      <c r="D360" s="1116">
        <v>0</v>
      </c>
      <c r="F360" s="1116">
        <v>7650</v>
      </c>
      <c r="G360" s="1116">
        <v>0</v>
      </c>
      <c r="H360" s="1116">
        <v>0</v>
      </c>
    </row>
    <row r="361" spans="1:8">
      <c r="A361" s="1116" t="s">
        <v>1319</v>
      </c>
      <c r="B361" s="1116">
        <v>2586</v>
      </c>
      <c r="C361" s="1116">
        <v>0</v>
      </c>
      <c r="D361" s="1116">
        <v>0</v>
      </c>
      <c r="F361" s="1116">
        <v>8910</v>
      </c>
      <c r="G361" s="1116">
        <v>0</v>
      </c>
      <c r="H361" s="1116">
        <v>0</v>
      </c>
    </row>
    <row r="362" spans="1:8">
      <c r="A362" s="1116" t="s">
        <v>1320</v>
      </c>
      <c r="B362" s="1116">
        <v>2535</v>
      </c>
      <c r="C362" s="1116">
        <v>0</v>
      </c>
      <c r="D362" s="1116">
        <v>0</v>
      </c>
      <c r="F362" s="1116">
        <v>9925</v>
      </c>
      <c r="G362" s="1116">
        <v>0</v>
      </c>
      <c r="H362" s="1116">
        <v>0</v>
      </c>
    </row>
    <row r="363" spans="1:8">
      <c r="A363" s="1116" t="s">
        <v>1288</v>
      </c>
      <c r="B363" s="1116">
        <v>2714</v>
      </c>
      <c r="C363" s="1116">
        <v>0</v>
      </c>
      <c r="D363" s="1116">
        <v>0</v>
      </c>
      <c r="F363" s="1116">
        <v>29945</v>
      </c>
      <c r="G363" s="1116">
        <v>0</v>
      </c>
      <c r="H363" s="1116">
        <v>0</v>
      </c>
    </row>
    <row r="364" spans="1:8">
      <c r="A364" s="1116" t="s">
        <v>1321</v>
      </c>
      <c r="B364" s="1116">
        <v>533</v>
      </c>
      <c r="C364" s="1116">
        <v>0</v>
      </c>
      <c r="D364" s="1116">
        <v>0</v>
      </c>
      <c r="F364" s="1116">
        <v>10510</v>
      </c>
      <c r="G364" s="1116">
        <v>0</v>
      </c>
      <c r="H364" s="1116">
        <v>0</v>
      </c>
    </row>
    <row r="365" spans="1:8">
      <c r="A365" s="1116" t="s">
        <v>1322</v>
      </c>
      <c r="B365" s="1116">
        <v>825</v>
      </c>
      <c r="C365" s="1116">
        <v>0</v>
      </c>
      <c r="D365" s="1116">
        <v>0</v>
      </c>
      <c r="F365" s="1116">
        <v>10520</v>
      </c>
      <c r="G365" s="1116">
        <v>0</v>
      </c>
      <c r="H365" s="1116">
        <v>0</v>
      </c>
    </row>
    <row r="366" spans="1:8">
      <c r="A366" s="1116" t="s">
        <v>1323</v>
      </c>
      <c r="B366" s="1116">
        <v>1356</v>
      </c>
      <c r="C366" s="1116">
        <v>0</v>
      </c>
      <c r="D366" s="1116">
        <v>0</v>
      </c>
      <c r="F366" s="1116">
        <v>8915</v>
      </c>
      <c r="G366" s="1116">
        <v>0</v>
      </c>
      <c r="H366" s="1116">
        <v>0</v>
      </c>
    </row>
    <row r="367" spans="1:8">
      <c r="A367" s="1116" t="s">
        <v>1289</v>
      </c>
      <c r="B367" s="1116">
        <v>1788</v>
      </c>
      <c r="C367" s="1116">
        <v>0</v>
      </c>
      <c r="D367" s="1116">
        <v>0</v>
      </c>
      <c r="F367" s="1116">
        <v>5330</v>
      </c>
      <c r="G367" s="1116">
        <v>0</v>
      </c>
      <c r="H367" s="1116">
        <v>0</v>
      </c>
    </row>
    <row r="368" spans="1:8">
      <c r="A368" s="1116" t="s">
        <v>1324</v>
      </c>
      <c r="B368" s="1116">
        <v>606</v>
      </c>
      <c r="C368" s="1116">
        <v>0</v>
      </c>
      <c r="D368" s="1116">
        <v>0</v>
      </c>
      <c r="F368" s="1116">
        <v>2080</v>
      </c>
      <c r="G368" s="1116">
        <v>0</v>
      </c>
      <c r="H368" s="1116">
        <v>0</v>
      </c>
    </row>
    <row r="369" spans="1:8">
      <c r="A369" s="1116" t="s">
        <v>1325</v>
      </c>
      <c r="B369" s="1116">
        <v>146</v>
      </c>
      <c r="C369" s="1116">
        <v>0</v>
      </c>
      <c r="D369" s="1116">
        <v>0</v>
      </c>
      <c r="F369" s="1116">
        <v>1950</v>
      </c>
      <c r="G369" s="1116">
        <v>0</v>
      </c>
      <c r="H369" s="1116">
        <v>0</v>
      </c>
    </row>
    <row r="370" spans="1:8">
      <c r="A370" s="1116" t="s">
        <v>1326</v>
      </c>
      <c r="B370" s="1116">
        <v>1036</v>
      </c>
      <c r="C370" s="1116">
        <v>0</v>
      </c>
      <c r="D370" s="1116">
        <v>0</v>
      </c>
      <c r="F370" s="1116">
        <v>1300</v>
      </c>
      <c r="G370" s="1116">
        <v>0</v>
      </c>
      <c r="H370" s="1116">
        <v>0</v>
      </c>
    </row>
    <row r="371" spans="1:8">
      <c r="A371" s="1116" t="s">
        <v>1327</v>
      </c>
      <c r="C371" s="1116" t="s">
        <v>1645</v>
      </c>
      <c r="G371" s="1116" t="s">
        <v>1646</v>
      </c>
    </row>
    <row r="372" spans="1:8">
      <c r="A372" s="1116" t="s">
        <v>769</v>
      </c>
      <c r="C372" s="1116">
        <v>52034</v>
      </c>
      <c r="G372" s="1116">
        <v>46621</v>
      </c>
    </row>
    <row r="373" spans="1:8">
      <c r="A373" s="1116" t="s">
        <v>770</v>
      </c>
      <c r="C373" s="1116">
        <v>79455</v>
      </c>
      <c r="G373" s="1116">
        <v>75322</v>
      </c>
    </row>
    <row r="374" spans="1:8">
      <c r="A374" s="1116" t="s">
        <v>771</v>
      </c>
      <c r="C374" s="1116">
        <v>117376</v>
      </c>
      <c r="G374" s="1116">
        <v>125042</v>
      </c>
    </row>
    <row r="375" spans="1:8">
      <c r="A375" s="1116" t="s">
        <v>772</v>
      </c>
      <c r="C375" s="1116">
        <v>152269</v>
      </c>
      <c r="G375" s="1116">
        <v>181943</v>
      </c>
    </row>
    <row r="376" spans="1:8">
      <c r="A376" s="1116" t="s">
        <v>773</v>
      </c>
      <c r="C376" s="1116">
        <v>196123</v>
      </c>
      <c r="G376" s="1116">
        <v>257639</v>
      </c>
    </row>
    <row r="377" spans="1:8">
      <c r="A377" s="1116" t="s">
        <v>774</v>
      </c>
      <c r="C377" s="1116">
        <v>257481</v>
      </c>
      <c r="G377" s="1116">
        <v>409551</v>
      </c>
    </row>
    <row r="378" spans="1:8">
      <c r="A378" s="1116" t="s">
        <v>775</v>
      </c>
      <c r="C378" s="1116">
        <v>367851</v>
      </c>
      <c r="G378" s="1116">
        <v>740765</v>
      </c>
    </row>
    <row r="379" spans="1:8">
      <c r="A379" s="1116" t="s">
        <v>1328</v>
      </c>
      <c r="C379" s="1116">
        <v>413407</v>
      </c>
      <c r="G379" s="1116">
        <v>899663</v>
      </c>
    </row>
    <row r="380" spans="1:8">
      <c r="A380" s="1116" t="s">
        <v>1923</v>
      </c>
      <c r="C380" s="1116">
        <v>443371</v>
      </c>
      <c r="G380" s="1116">
        <v>1036860</v>
      </c>
    </row>
    <row r="381" spans="1:8">
      <c r="A381" s="1116" t="s">
        <v>1329</v>
      </c>
    </row>
    <row r="382" spans="1:8">
      <c r="A382" s="1116" t="s">
        <v>776</v>
      </c>
      <c r="D382" s="1116">
        <v>27150</v>
      </c>
    </row>
    <row r="383" spans="1:8">
      <c r="A383" s="1116" t="s">
        <v>777</v>
      </c>
      <c r="D383" s="1116">
        <v>75050</v>
      </c>
    </row>
    <row r="384" spans="1:8">
      <c r="A384" s="1116" t="s">
        <v>1330</v>
      </c>
      <c r="D384" s="1116">
        <v>47900</v>
      </c>
    </row>
    <row r="385" spans="1:26">
      <c r="A385" s="1116" t="s">
        <v>1331</v>
      </c>
      <c r="D385" s="1116">
        <v>118050</v>
      </c>
    </row>
    <row r="386" spans="1:26">
      <c r="A386" s="1116" t="s">
        <v>1924</v>
      </c>
      <c r="D386" s="1116">
        <v>105050</v>
      </c>
    </row>
    <row r="391" spans="1:26">
      <c r="C391" s="1116" t="s">
        <v>1647</v>
      </c>
    </row>
    <row r="392" spans="1:26">
      <c r="Z392" s="1116" t="s">
        <v>1925</v>
      </c>
    </row>
    <row r="394" spans="1:26">
      <c r="W394" s="1116" t="s">
        <v>778</v>
      </c>
    </row>
    <row r="395" spans="1:26">
      <c r="A395" s="1116" t="s">
        <v>779</v>
      </c>
      <c r="C395" s="1116" t="s">
        <v>1</v>
      </c>
      <c r="K395" s="1116" t="s">
        <v>451</v>
      </c>
      <c r="O395" s="1116" t="s">
        <v>452</v>
      </c>
      <c r="S395" s="1116" t="s">
        <v>625</v>
      </c>
      <c r="W395" s="1116" t="s">
        <v>403</v>
      </c>
    </row>
    <row r="396" spans="1:26">
      <c r="C396" s="1116" t="s">
        <v>1648</v>
      </c>
      <c r="G396" s="1116" t="s">
        <v>1649</v>
      </c>
    </row>
    <row r="397" spans="1:26">
      <c r="C397" s="1116" t="s">
        <v>448</v>
      </c>
      <c r="D397" s="1116" t="s">
        <v>449</v>
      </c>
      <c r="E397" s="1116" t="s">
        <v>450</v>
      </c>
      <c r="F397" s="1116" t="s">
        <v>406</v>
      </c>
      <c r="G397" s="1116" t="s">
        <v>448</v>
      </c>
      <c r="H397" s="1116" t="s">
        <v>449</v>
      </c>
      <c r="I397" s="1116" t="s">
        <v>450</v>
      </c>
      <c r="J397" s="1116" t="s">
        <v>406</v>
      </c>
      <c r="K397" s="1116" t="s">
        <v>448</v>
      </c>
      <c r="L397" s="1116" t="s">
        <v>449</v>
      </c>
      <c r="M397" s="1116" t="s">
        <v>450</v>
      </c>
      <c r="N397" s="1116" t="s">
        <v>406</v>
      </c>
      <c r="O397" s="1116" t="s">
        <v>448</v>
      </c>
      <c r="P397" s="1116" t="s">
        <v>449</v>
      </c>
      <c r="Q397" s="1116" t="s">
        <v>450</v>
      </c>
      <c r="R397" s="1116" t="s">
        <v>406</v>
      </c>
      <c r="S397" s="1116" t="s">
        <v>448</v>
      </c>
      <c r="T397" s="1116" t="s">
        <v>449</v>
      </c>
      <c r="U397" s="1116" t="s">
        <v>450</v>
      </c>
      <c r="V397" s="1116" t="s">
        <v>406</v>
      </c>
      <c r="W397" s="1116" t="s">
        <v>448</v>
      </c>
      <c r="X397" s="1116" t="s">
        <v>449</v>
      </c>
      <c r="Y397" s="1116" t="s">
        <v>450</v>
      </c>
      <c r="Z397" s="1116" t="s">
        <v>403</v>
      </c>
    </row>
    <row r="398" spans="1:26">
      <c r="A398" s="1116" t="s">
        <v>1505</v>
      </c>
      <c r="C398" s="1116">
        <v>0</v>
      </c>
      <c r="D398" s="1116">
        <v>0</v>
      </c>
      <c r="E398" s="1116">
        <v>0</v>
      </c>
      <c r="F398" s="1116">
        <v>0</v>
      </c>
      <c r="G398" s="1116">
        <v>0</v>
      </c>
      <c r="H398" s="1116">
        <v>0</v>
      </c>
      <c r="I398" s="1116">
        <v>0</v>
      </c>
      <c r="J398" s="1116">
        <v>0</v>
      </c>
      <c r="K398" s="1116">
        <v>1988</v>
      </c>
      <c r="L398" s="1116">
        <v>1328</v>
      </c>
      <c r="M398" s="1116">
        <v>2636</v>
      </c>
      <c r="N398" s="1116">
        <v>5952</v>
      </c>
      <c r="O398" s="1116">
        <v>699</v>
      </c>
      <c r="P398" s="1116">
        <v>3567</v>
      </c>
      <c r="Q398" s="1116">
        <v>848</v>
      </c>
      <c r="R398" s="1116">
        <v>5114</v>
      </c>
      <c r="S398" s="1116">
        <v>784</v>
      </c>
      <c r="T398" s="1116">
        <v>7365</v>
      </c>
      <c r="U398" s="1116">
        <v>40</v>
      </c>
      <c r="V398" s="1116">
        <v>8189</v>
      </c>
      <c r="W398" s="1116">
        <v>3471</v>
      </c>
      <c r="X398" s="1116">
        <v>12260</v>
      </c>
      <c r="Y398" s="1116">
        <v>3524</v>
      </c>
      <c r="Z398" s="1116">
        <v>19255</v>
      </c>
    </row>
    <row r="399" spans="1:26">
      <c r="A399" s="1116">
        <v>44349</v>
      </c>
      <c r="B399" s="1116" t="s">
        <v>446</v>
      </c>
      <c r="C399" s="1116">
        <v>0</v>
      </c>
      <c r="D399" s="1116">
        <v>0</v>
      </c>
      <c r="E399" s="1116">
        <v>0</v>
      </c>
      <c r="F399" s="1116">
        <v>0</v>
      </c>
      <c r="G399" s="1116">
        <v>0</v>
      </c>
      <c r="H399" s="1116">
        <v>0</v>
      </c>
      <c r="I399" s="1116">
        <v>0</v>
      </c>
      <c r="J399" s="1116">
        <v>0</v>
      </c>
      <c r="K399" s="1116">
        <v>374</v>
      </c>
      <c r="L399" s="1116">
        <v>555</v>
      </c>
      <c r="M399" s="1116">
        <v>790</v>
      </c>
      <c r="N399" s="1116">
        <v>1719</v>
      </c>
      <c r="O399" s="1116">
        <v>0</v>
      </c>
      <c r="P399" s="1116">
        <v>186</v>
      </c>
      <c r="Q399" s="1116">
        <v>0</v>
      </c>
      <c r="R399" s="1116">
        <v>186</v>
      </c>
      <c r="S399" s="1116">
        <v>0</v>
      </c>
      <c r="T399" s="1116">
        <v>1785</v>
      </c>
      <c r="U399" s="1116">
        <v>0</v>
      </c>
      <c r="V399" s="1116">
        <v>1785</v>
      </c>
      <c r="W399" s="1116">
        <v>374</v>
      </c>
      <c r="X399" s="1116">
        <v>2526</v>
      </c>
      <c r="Y399" s="1116">
        <v>790</v>
      </c>
      <c r="Z399" s="1116">
        <v>3690</v>
      </c>
    </row>
    <row r="400" spans="1:26">
      <c r="B400" s="1116" t="s">
        <v>444</v>
      </c>
      <c r="C400" s="1116">
        <v>0</v>
      </c>
      <c r="D400" s="1116">
        <v>0</v>
      </c>
      <c r="E400" s="1116">
        <v>0</v>
      </c>
      <c r="F400" s="1116">
        <v>0</v>
      </c>
      <c r="G400" s="1116">
        <v>0</v>
      </c>
      <c r="H400" s="1116">
        <v>0</v>
      </c>
      <c r="I400" s="1116">
        <v>0</v>
      </c>
      <c r="J400" s="1116">
        <v>0</v>
      </c>
      <c r="K400" s="1116">
        <v>0</v>
      </c>
      <c r="L400" s="1116">
        <v>0</v>
      </c>
      <c r="M400" s="1116">
        <v>0</v>
      </c>
      <c r="N400" s="1116">
        <v>0</v>
      </c>
      <c r="O400" s="1116">
        <v>328</v>
      </c>
      <c r="P400" s="1116">
        <v>0</v>
      </c>
      <c r="Q400" s="1116">
        <v>0</v>
      </c>
      <c r="R400" s="1116">
        <v>328</v>
      </c>
      <c r="S400" s="1116">
        <v>0</v>
      </c>
      <c r="T400" s="1116">
        <v>523</v>
      </c>
      <c r="U400" s="1116">
        <v>0</v>
      </c>
      <c r="V400" s="1116">
        <v>523</v>
      </c>
      <c r="W400" s="1116">
        <v>328</v>
      </c>
      <c r="X400" s="1116">
        <v>523</v>
      </c>
      <c r="Y400" s="1116">
        <v>0</v>
      </c>
      <c r="Z400" s="1116">
        <v>851</v>
      </c>
    </row>
    <row r="401" spans="1:29">
      <c r="A401" s="1116" t="s">
        <v>1926</v>
      </c>
      <c r="B401" s="1116" t="s">
        <v>446</v>
      </c>
      <c r="C401" s="1116">
        <v>0</v>
      </c>
      <c r="D401" s="1116">
        <v>0</v>
      </c>
      <c r="E401" s="1116">
        <v>0</v>
      </c>
      <c r="F401" s="1116">
        <v>0</v>
      </c>
      <c r="G401" s="1116">
        <v>0</v>
      </c>
      <c r="H401" s="1116">
        <v>0</v>
      </c>
      <c r="I401" s="1116">
        <v>0</v>
      </c>
      <c r="J401" s="1116">
        <v>0</v>
      </c>
      <c r="K401" s="1116">
        <v>712</v>
      </c>
      <c r="L401" s="1116">
        <v>902</v>
      </c>
      <c r="M401" s="1116">
        <v>1271</v>
      </c>
      <c r="N401" s="1116">
        <v>2885</v>
      </c>
      <c r="O401" s="1116">
        <v>51</v>
      </c>
      <c r="P401" s="1116">
        <v>314</v>
      </c>
      <c r="Q401" s="1116">
        <v>4</v>
      </c>
      <c r="R401" s="1116">
        <v>369</v>
      </c>
      <c r="S401" s="1116">
        <v>0</v>
      </c>
      <c r="T401" s="1116">
        <v>3310</v>
      </c>
      <c r="U401" s="1116">
        <v>0</v>
      </c>
      <c r="V401" s="1116">
        <v>3310</v>
      </c>
      <c r="W401" s="1116">
        <v>763</v>
      </c>
      <c r="X401" s="1116">
        <v>4526</v>
      </c>
      <c r="Y401" s="1116">
        <v>1275</v>
      </c>
      <c r="Z401" s="1116">
        <v>6564</v>
      </c>
    </row>
    <row r="402" spans="1:29">
      <c r="B402" s="1116" t="s">
        <v>444</v>
      </c>
      <c r="C402" s="1116">
        <v>0</v>
      </c>
      <c r="D402" s="1116">
        <v>0</v>
      </c>
      <c r="E402" s="1116">
        <v>0</v>
      </c>
      <c r="F402" s="1116">
        <v>0</v>
      </c>
      <c r="G402" s="1116">
        <v>0</v>
      </c>
      <c r="H402" s="1116">
        <v>0</v>
      </c>
      <c r="I402" s="1116">
        <v>0</v>
      </c>
      <c r="J402" s="1116">
        <v>0</v>
      </c>
      <c r="K402" s="1116">
        <v>268</v>
      </c>
      <c r="L402" s="1116">
        <v>0</v>
      </c>
      <c r="M402" s="1116">
        <v>0</v>
      </c>
      <c r="N402" s="1116">
        <v>268</v>
      </c>
      <c r="O402" s="1116">
        <v>581</v>
      </c>
      <c r="P402" s="1116">
        <v>61</v>
      </c>
      <c r="Q402" s="1116">
        <v>0</v>
      </c>
      <c r="R402" s="1116">
        <v>642</v>
      </c>
      <c r="S402" s="1116">
        <v>0</v>
      </c>
      <c r="T402" s="1116">
        <v>640</v>
      </c>
      <c r="U402" s="1116">
        <v>0</v>
      </c>
      <c r="V402" s="1116">
        <v>640</v>
      </c>
      <c r="W402" s="1116">
        <v>849</v>
      </c>
      <c r="X402" s="1116">
        <v>701</v>
      </c>
      <c r="Y402" s="1116">
        <v>0</v>
      </c>
      <c r="Z402" s="1116">
        <v>1550</v>
      </c>
    </row>
    <row r="406" spans="1:29">
      <c r="A406" s="1116" t="s">
        <v>1927</v>
      </c>
    </row>
    <row r="407" spans="1:29">
      <c r="AC407" s="1116" t="s">
        <v>1925</v>
      </c>
    </row>
    <row r="409" spans="1:29">
      <c r="A409" s="1116" t="s">
        <v>1332</v>
      </c>
      <c r="AB409" s="1116" t="s">
        <v>764</v>
      </c>
    </row>
    <row r="410" spans="1:29">
      <c r="A410" s="1116" t="s">
        <v>765</v>
      </c>
      <c r="B410" s="1116" t="s">
        <v>766</v>
      </c>
      <c r="F410" s="1116" t="s">
        <v>767</v>
      </c>
      <c r="J410" s="1116" t="s">
        <v>1650</v>
      </c>
      <c r="N410" s="1116" t="s">
        <v>451</v>
      </c>
      <c r="R410" s="1116" t="s">
        <v>452</v>
      </c>
      <c r="V410" s="1116" t="s">
        <v>625</v>
      </c>
      <c r="Z410" s="1116" t="s">
        <v>403</v>
      </c>
    </row>
    <row r="411" spans="1:29">
      <c r="B411" s="1116" t="s">
        <v>415</v>
      </c>
      <c r="C411" s="1116" t="s">
        <v>413</v>
      </c>
      <c r="D411" s="1116" t="s">
        <v>768</v>
      </c>
      <c r="E411" s="1116" t="s">
        <v>406</v>
      </c>
      <c r="F411" s="1116" t="s">
        <v>415</v>
      </c>
      <c r="G411" s="1116" t="s">
        <v>413</v>
      </c>
      <c r="H411" s="1116" t="s">
        <v>768</v>
      </c>
      <c r="I411" s="1116" t="s">
        <v>406</v>
      </c>
      <c r="J411" s="1116" t="s">
        <v>415</v>
      </c>
      <c r="K411" s="1116" t="s">
        <v>413</v>
      </c>
      <c r="L411" s="1116" t="s">
        <v>768</v>
      </c>
      <c r="M411" s="1116" t="s">
        <v>406</v>
      </c>
      <c r="N411" s="1116" t="s">
        <v>415</v>
      </c>
      <c r="O411" s="1116" t="s">
        <v>413</v>
      </c>
      <c r="P411" s="1116" t="s">
        <v>768</v>
      </c>
      <c r="Q411" s="1116" t="s">
        <v>406</v>
      </c>
      <c r="R411" s="1116" t="s">
        <v>415</v>
      </c>
      <c r="S411" s="1116" t="s">
        <v>413</v>
      </c>
      <c r="T411" s="1116" t="s">
        <v>768</v>
      </c>
      <c r="U411" s="1116" t="s">
        <v>406</v>
      </c>
      <c r="V411" s="1116" t="s">
        <v>415</v>
      </c>
      <c r="W411" s="1116" t="s">
        <v>413</v>
      </c>
      <c r="X411" s="1116" t="s">
        <v>768</v>
      </c>
      <c r="Y411" s="1116" t="s">
        <v>406</v>
      </c>
      <c r="Z411" s="1116" t="s">
        <v>415</v>
      </c>
      <c r="AA411" s="1116" t="s">
        <v>413</v>
      </c>
      <c r="AB411" s="1116" t="s">
        <v>768</v>
      </c>
      <c r="AC411" s="1116" t="s">
        <v>406</v>
      </c>
    </row>
    <row r="412" spans="1:29">
      <c r="A412" s="1116" t="s">
        <v>769</v>
      </c>
      <c r="B412" s="1116">
        <v>0</v>
      </c>
      <c r="C412" s="1116">
        <v>0</v>
      </c>
      <c r="D412" s="1116">
        <v>0</v>
      </c>
      <c r="E412" s="1116">
        <v>0</v>
      </c>
      <c r="F412" s="1116">
        <v>0</v>
      </c>
      <c r="G412" s="1116">
        <v>0</v>
      </c>
      <c r="H412" s="1116">
        <v>0</v>
      </c>
      <c r="I412" s="1116">
        <v>0</v>
      </c>
      <c r="J412" s="1116">
        <v>0</v>
      </c>
      <c r="K412" s="1116">
        <v>0</v>
      </c>
      <c r="L412" s="1116">
        <v>0</v>
      </c>
      <c r="M412" s="1116">
        <v>0</v>
      </c>
      <c r="N412" s="1116">
        <v>0</v>
      </c>
      <c r="O412" s="1116">
        <v>0</v>
      </c>
      <c r="P412" s="1116">
        <v>0</v>
      </c>
      <c r="Q412" s="1116">
        <v>0</v>
      </c>
      <c r="R412" s="1116">
        <v>1831</v>
      </c>
      <c r="S412" s="1116">
        <v>4198</v>
      </c>
      <c r="T412" s="1116">
        <v>0</v>
      </c>
      <c r="U412" s="1116">
        <v>6029</v>
      </c>
      <c r="V412" s="1116">
        <v>1641</v>
      </c>
      <c r="W412" s="1116">
        <v>44364</v>
      </c>
      <c r="X412" s="1116">
        <v>0</v>
      </c>
      <c r="Y412" s="1116">
        <v>46005</v>
      </c>
      <c r="Z412" s="1116">
        <v>3472</v>
      </c>
      <c r="AA412" s="1116">
        <v>48562</v>
      </c>
      <c r="AB412" s="1116">
        <v>0</v>
      </c>
      <c r="AC412" s="1116">
        <v>52034</v>
      </c>
    </row>
    <row r="413" spans="1:29">
      <c r="A413" s="1116" t="s">
        <v>770</v>
      </c>
      <c r="B413" s="1116">
        <v>0</v>
      </c>
      <c r="C413" s="1116">
        <v>0</v>
      </c>
      <c r="D413" s="1116">
        <v>0</v>
      </c>
      <c r="E413" s="1116">
        <v>0</v>
      </c>
      <c r="F413" s="1116">
        <v>0</v>
      </c>
      <c r="G413" s="1116">
        <v>0</v>
      </c>
      <c r="H413" s="1116">
        <v>0</v>
      </c>
      <c r="I413" s="1116">
        <v>0</v>
      </c>
      <c r="J413" s="1116">
        <v>0</v>
      </c>
      <c r="K413" s="1116">
        <v>0</v>
      </c>
      <c r="L413" s="1116">
        <v>0</v>
      </c>
      <c r="M413" s="1116">
        <v>0</v>
      </c>
      <c r="N413" s="1116">
        <v>0</v>
      </c>
      <c r="O413" s="1116">
        <v>0</v>
      </c>
      <c r="P413" s="1116">
        <v>0</v>
      </c>
      <c r="Q413" s="1116">
        <v>0</v>
      </c>
      <c r="R413" s="1116">
        <v>13068</v>
      </c>
      <c r="S413" s="1116">
        <v>6756</v>
      </c>
      <c r="T413" s="1116">
        <v>0</v>
      </c>
      <c r="U413" s="1116">
        <v>19824</v>
      </c>
      <c r="V413" s="1116">
        <v>4560</v>
      </c>
      <c r="W413" s="1116">
        <v>55071</v>
      </c>
      <c r="X413" s="1116">
        <v>0</v>
      </c>
      <c r="Y413" s="1116">
        <v>59631</v>
      </c>
      <c r="Z413" s="1116">
        <v>17628</v>
      </c>
      <c r="AA413" s="1116">
        <v>61827</v>
      </c>
      <c r="AB413" s="1116">
        <v>0</v>
      </c>
      <c r="AC413" s="1116">
        <v>79455</v>
      </c>
    </row>
    <row r="414" spans="1:29">
      <c r="A414" s="1116" t="s">
        <v>771</v>
      </c>
      <c r="B414" s="1116">
        <v>0</v>
      </c>
      <c r="C414" s="1116">
        <v>0</v>
      </c>
      <c r="D414" s="1116">
        <v>0</v>
      </c>
      <c r="E414" s="1116">
        <v>0</v>
      </c>
      <c r="F414" s="1116">
        <v>1634</v>
      </c>
      <c r="G414" s="1116">
        <v>0</v>
      </c>
      <c r="H414" s="1116">
        <v>0</v>
      </c>
      <c r="I414" s="1116">
        <v>1634</v>
      </c>
      <c r="J414" s="1116">
        <v>0</v>
      </c>
      <c r="K414" s="1116">
        <v>0</v>
      </c>
      <c r="L414" s="1116">
        <v>0</v>
      </c>
      <c r="M414" s="1116">
        <v>0</v>
      </c>
      <c r="N414" s="1116">
        <v>0</v>
      </c>
      <c r="O414" s="1116">
        <v>0</v>
      </c>
      <c r="P414" s="1116">
        <v>0</v>
      </c>
      <c r="Q414" s="1116">
        <v>0</v>
      </c>
      <c r="R414" s="1116">
        <v>23001</v>
      </c>
      <c r="S414" s="1116">
        <v>13141</v>
      </c>
      <c r="T414" s="1116">
        <v>0</v>
      </c>
      <c r="U414" s="1116">
        <v>36142</v>
      </c>
      <c r="V414" s="1116">
        <v>6564</v>
      </c>
      <c r="W414" s="1116">
        <v>73036</v>
      </c>
      <c r="X414" s="1116">
        <v>0</v>
      </c>
      <c r="Y414" s="1116">
        <v>79600</v>
      </c>
      <c r="Z414" s="1116">
        <v>31199</v>
      </c>
      <c r="AA414" s="1116">
        <v>86177</v>
      </c>
      <c r="AB414" s="1116">
        <v>0</v>
      </c>
      <c r="AC414" s="1116">
        <v>117376</v>
      </c>
    </row>
    <row r="415" spans="1:29">
      <c r="A415" s="1116" t="s">
        <v>772</v>
      </c>
      <c r="B415" s="1116">
        <v>0</v>
      </c>
      <c r="C415" s="1116">
        <v>0</v>
      </c>
      <c r="D415" s="1116">
        <v>0</v>
      </c>
      <c r="E415" s="1116">
        <v>0</v>
      </c>
      <c r="F415" s="1116">
        <v>3234</v>
      </c>
      <c r="G415" s="1116">
        <v>1504</v>
      </c>
      <c r="H415" s="1116">
        <v>0</v>
      </c>
      <c r="I415" s="1116">
        <v>4738</v>
      </c>
      <c r="J415" s="1116">
        <v>0</v>
      </c>
      <c r="K415" s="1116">
        <v>0</v>
      </c>
      <c r="L415" s="1116">
        <v>0</v>
      </c>
      <c r="M415" s="1116">
        <v>0</v>
      </c>
      <c r="N415" s="1116">
        <v>751</v>
      </c>
      <c r="O415" s="1116">
        <v>409</v>
      </c>
      <c r="P415" s="1116">
        <v>0</v>
      </c>
      <c r="Q415" s="1116">
        <v>1160</v>
      </c>
      <c r="R415" s="1116">
        <v>29345</v>
      </c>
      <c r="S415" s="1116">
        <v>20033</v>
      </c>
      <c r="T415" s="1116">
        <v>0</v>
      </c>
      <c r="U415" s="1116">
        <v>49378</v>
      </c>
      <c r="V415" s="1116">
        <v>8687</v>
      </c>
      <c r="W415" s="1116">
        <v>88306</v>
      </c>
      <c r="X415" s="1116">
        <v>0</v>
      </c>
      <c r="Y415" s="1116">
        <v>96993</v>
      </c>
      <c r="Z415" s="1116">
        <v>42017</v>
      </c>
      <c r="AA415" s="1116">
        <v>110252</v>
      </c>
      <c r="AB415" s="1116">
        <v>0</v>
      </c>
      <c r="AC415" s="1116">
        <v>152269</v>
      </c>
    </row>
    <row r="416" spans="1:29">
      <c r="A416" s="1116" t="s">
        <v>773</v>
      </c>
      <c r="B416" s="1116">
        <v>0</v>
      </c>
      <c r="C416" s="1116">
        <v>0</v>
      </c>
      <c r="D416" s="1116">
        <v>0</v>
      </c>
      <c r="E416" s="1116">
        <v>0</v>
      </c>
      <c r="F416" s="1116">
        <v>4368</v>
      </c>
      <c r="G416" s="1116">
        <v>1504</v>
      </c>
      <c r="H416" s="1116">
        <v>0</v>
      </c>
      <c r="I416" s="1116">
        <v>5872</v>
      </c>
      <c r="J416" s="1116">
        <v>0</v>
      </c>
      <c r="K416" s="1116">
        <v>0</v>
      </c>
      <c r="L416" s="1116">
        <v>0</v>
      </c>
      <c r="M416" s="1116">
        <v>0</v>
      </c>
      <c r="N416" s="1116">
        <v>1775</v>
      </c>
      <c r="O416" s="1116">
        <v>409</v>
      </c>
      <c r="P416" s="1116">
        <v>0</v>
      </c>
      <c r="Q416" s="1116">
        <v>2184</v>
      </c>
      <c r="R416" s="1116">
        <v>48708</v>
      </c>
      <c r="S416" s="1116">
        <v>24730</v>
      </c>
      <c r="T416" s="1116">
        <v>0</v>
      </c>
      <c r="U416" s="1116">
        <v>73438</v>
      </c>
      <c r="V416" s="1116">
        <v>9444</v>
      </c>
      <c r="W416" s="1116">
        <v>105185</v>
      </c>
      <c r="X416" s="1116">
        <v>0</v>
      </c>
      <c r="Y416" s="1116">
        <v>114629</v>
      </c>
      <c r="Z416" s="1116">
        <v>64295</v>
      </c>
      <c r="AA416" s="1116">
        <v>131828</v>
      </c>
      <c r="AB416" s="1116">
        <v>0</v>
      </c>
      <c r="AC416" s="1116">
        <v>196123</v>
      </c>
    </row>
    <row r="417" spans="1:30">
      <c r="A417" s="1116" t="s">
        <v>774</v>
      </c>
      <c r="B417" s="1116">
        <v>0</v>
      </c>
      <c r="C417" s="1116">
        <v>0</v>
      </c>
      <c r="D417" s="1116">
        <v>0</v>
      </c>
      <c r="E417" s="1116">
        <v>0</v>
      </c>
      <c r="F417" s="1116">
        <v>5948</v>
      </c>
      <c r="G417" s="1116">
        <v>1504</v>
      </c>
      <c r="H417" s="1116">
        <v>1980</v>
      </c>
      <c r="I417" s="1116">
        <v>9432</v>
      </c>
      <c r="J417" s="1116">
        <v>0</v>
      </c>
      <c r="K417" s="1116">
        <v>0</v>
      </c>
      <c r="L417" s="1116">
        <v>0</v>
      </c>
      <c r="M417" s="1116">
        <v>0</v>
      </c>
      <c r="N417" s="1116">
        <v>4839</v>
      </c>
      <c r="O417" s="1116">
        <v>411</v>
      </c>
      <c r="P417" s="1116">
        <v>0</v>
      </c>
      <c r="Q417" s="1116">
        <v>5250</v>
      </c>
      <c r="R417" s="1116">
        <v>71023</v>
      </c>
      <c r="S417" s="1116">
        <v>30191</v>
      </c>
      <c r="T417" s="1116">
        <v>5605</v>
      </c>
      <c r="U417" s="1116">
        <v>106819</v>
      </c>
      <c r="V417" s="1116">
        <v>10140</v>
      </c>
      <c r="W417" s="1116">
        <v>125010</v>
      </c>
      <c r="X417" s="1116">
        <v>830</v>
      </c>
      <c r="Y417" s="1116">
        <v>135980</v>
      </c>
      <c r="Z417" s="1116">
        <v>91950</v>
      </c>
      <c r="AA417" s="1116">
        <v>157116</v>
      </c>
      <c r="AB417" s="1116">
        <v>8415</v>
      </c>
      <c r="AC417" s="1116">
        <v>257481</v>
      </c>
    </row>
    <row r="418" spans="1:30">
      <c r="A418" s="1116" t="s">
        <v>775</v>
      </c>
      <c r="B418" s="1116">
        <v>6124</v>
      </c>
      <c r="C418" s="1116">
        <v>0</v>
      </c>
      <c r="D418" s="1116">
        <v>0</v>
      </c>
      <c r="E418" s="1116">
        <v>6124</v>
      </c>
      <c r="F418" s="1116">
        <v>5948</v>
      </c>
      <c r="G418" s="1116">
        <v>1504</v>
      </c>
      <c r="H418" s="1116">
        <v>1980</v>
      </c>
      <c r="I418" s="1116">
        <v>9432</v>
      </c>
      <c r="J418" s="1116">
        <v>0</v>
      </c>
      <c r="K418" s="1116">
        <v>0</v>
      </c>
      <c r="L418" s="1116">
        <v>0</v>
      </c>
      <c r="M418" s="1116">
        <v>0</v>
      </c>
      <c r="N418" s="1116">
        <v>25465</v>
      </c>
      <c r="O418" s="1116">
        <v>1177</v>
      </c>
      <c r="P418" s="1116">
        <v>4598</v>
      </c>
      <c r="Q418" s="1116">
        <v>31240</v>
      </c>
      <c r="R418" s="1116">
        <v>92482</v>
      </c>
      <c r="S418" s="1116">
        <v>48240</v>
      </c>
      <c r="T418" s="1116">
        <v>17065</v>
      </c>
      <c r="U418" s="1116">
        <v>157787</v>
      </c>
      <c r="V418" s="1116">
        <v>11014</v>
      </c>
      <c r="W418" s="1116">
        <v>151276</v>
      </c>
      <c r="X418" s="1116">
        <v>978</v>
      </c>
      <c r="Y418" s="1116">
        <v>163268</v>
      </c>
      <c r="Z418" s="1116">
        <v>141033</v>
      </c>
      <c r="AA418" s="1116">
        <v>202197</v>
      </c>
      <c r="AB418" s="1116">
        <v>24621</v>
      </c>
      <c r="AC418" s="1116">
        <v>367851</v>
      </c>
    </row>
    <row r="419" spans="1:30">
      <c r="A419" s="1116" t="s">
        <v>1333</v>
      </c>
      <c r="B419" s="1116">
        <v>6124</v>
      </c>
      <c r="C419" s="1116">
        <v>0</v>
      </c>
      <c r="D419" s="1116">
        <v>0</v>
      </c>
      <c r="E419" s="1116">
        <v>6124</v>
      </c>
      <c r="F419" s="1116">
        <v>5948</v>
      </c>
      <c r="G419" s="1116">
        <v>1504</v>
      </c>
      <c r="H419" s="1116">
        <v>1980</v>
      </c>
      <c r="I419" s="1116">
        <v>9432</v>
      </c>
      <c r="J419" s="1116">
        <v>0</v>
      </c>
      <c r="K419" s="1116">
        <v>0</v>
      </c>
      <c r="L419" s="1116">
        <v>0</v>
      </c>
      <c r="M419" s="1116">
        <v>0</v>
      </c>
      <c r="N419" s="1116">
        <v>33692</v>
      </c>
      <c r="O419" s="1116">
        <v>1512</v>
      </c>
      <c r="P419" s="1116">
        <v>6605</v>
      </c>
      <c r="Q419" s="1116">
        <v>41809</v>
      </c>
      <c r="R419" s="1116">
        <v>101335</v>
      </c>
      <c r="S419" s="1116">
        <v>58238</v>
      </c>
      <c r="T419" s="1116">
        <v>21173</v>
      </c>
      <c r="U419" s="1116">
        <v>180746</v>
      </c>
      <c r="V419" s="1116">
        <v>11734</v>
      </c>
      <c r="W419" s="1116">
        <v>162552</v>
      </c>
      <c r="X419" s="1116">
        <v>1010</v>
      </c>
      <c r="Y419" s="1116">
        <v>175296</v>
      </c>
      <c r="Z419" s="1116">
        <v>158833</v>
      </c>
      <c r="AA419" s="1116">
        <v>223806</v>
      </c>
      <c r="AB419" s="1116">
        <v>30768</v>
      </c>
      <c r="AC419" s="1116">
        <v>413407</v>
      </c>
    </row>
    <row r="420" spans="1:30">
      <c r="A420" s="1116" t="s">
        <v>1210</v>
      </c>
      <c r="B420" s="1116">
        <v>6124</v>
      </c>
      <c r="C420" s="1116">
        <v>0</v>
      </c>
      <c r="D420" s="1116">
        <v>0</v>
      </c>
      <c r="E420" s="1116">
        <v>6124</v>
      </c>
      <c r="F420" s="1116">
        <v>5948</v>
      </c>
      <c r="G420" s="1116">
        <v>1504</v>
      </c>
      <c r="H420" s="1116">
        <v>1980</v>
      </c>
      <c r="I420" s="1116">
        <v>9432</v>
      </c>
      <c r="J420" s="1116">
        <v>0</v>
      </c>
      <c r="K420" s="1116">
        <v>0</v>
      </c>
      <c r="L420" s="1116">
        <v>0</v>
      </c>
      <c r="M420" s="1116">
        <v>0</v>
      </c>
      <c r="N420" s="1116">
        <v>36427</v>
      </c>
      <c r="O420" s="1116">
        <v>1512</v>
      </c>
      <c r="P420" s="1116">
        <v>6914</v>
      </c>
      <c r="Q420" s="1116">
        <v>44853</v>
      </c>
      <c r="R420" s="1116">
        <v>102855</v>
      </c>
      <c r="S420" s="1116">
        <v>59934</v>
      </c>
      <c r="T420" s="1116">
        <v>21732</v>
      </c>
      <c r="U420" s="1116">
        <v>184521</v>
      </c>
      <c r="V420" s="1116">
        <v>11968</v>
      </c>
      <c r="W420" s="1116">
        <v>167163</v>
      </c>
      <c r="X420" s="1116">
        <v>1010</v>
      </c>
      <c r="Y420" s="1116">
        <v>180141</v>
      </c>
      <c r="Z420" s="1116">
        <v>163322</v>
      </c>
      <c r="AA420" s="1116">
        <v>230113</v>
      </c>
      <c r="AB420" s="1116">
        <v>31636</v>
      </c>
      <c r="AC420" s="1116">
        <v>425071</v>
      </c>
    </row>
    <row r="421" spans="1:30">
      <c r="A421" s="1116" t="s">
        <v>1506</v>
      </c>
      <c r="B421" s="1116">
        <v>9655</v>
      </c>
      <c r="C421" s="1116">
        <v>0</v>
      </c>
      <c r="D421" s="1116">
        <v>0</v>
      </c>
      <c r="E421" s="1116">
        <v>9655</v>
      </c>
      <c r="F421" s="1116">
        <v>5948</v>
      </c>
      <c r="G421" s="1116">
        <v>1504</v>
      </c>
      <c r="H421" s="1116">
        <v>1980</v>
      </c>
      <c r="I421" s="1116">
        <v>9432</v>
      </c>
      <c r="J421" s="1116">
        <v>288</v>
      </c>
      <c r="K421" s="1116">
        <v>0</v>
      </c>
      <c r="L421" s="1116">
        <v>0</v>
      </c>
      <c r="M421" s="1116">
        <v>288</v>
      </c>
      <c r="N421" s="1116">
        <v>36967</v>
      </c>
      <c r="O421" s="1116">
        <v>1512</v>
      </c>
      <c r="P421" s="1116">
        <v>7611</v>
      </c>
      <c r="Q421" s="1116">
        <v>46090</v>
      </c>
      <c r="R421" s="1116">
        <v>105648</v>
      </c>
      <c r="S421" s="1116">
        <v>61339</v>
      </c>
      <c r="T421" s="1116">
        <v>22923</v>
      </c>
      <c r="U421" s="1116">
        <v>189910</v>
      </c>
      <c r="V421" s="1116">
        <v>11982</v>
      </c>
      <c r="W421" s="1116">
        <v>173415</v>
      </c>
      <c r="X421" s="1116">
        <v>1049</v>
      </c>
      <c r="Y421" s="1116">
        <v>186446</v>
      </c>
      <c r="Z421" s="1116">
        <v>170488</v>
      </c>
      <c r="AA421" s="1116">
        <v>237770</v>
      </c>
      <c r="AB421" s="1116">
        <v>33563</v>
      </c>
      <c r="AC421" s="1116">
        <v>441821</v>
      </c>
    </row>
    <row r="422" spans="1:30">
      <c r="A422" s="1116" t="s">
        <v>1928</v>
      </c>
      <c r="B422" s="1116">
        <v>9655</v>
      </c>
      <c r="C422" s="1116">
        <v>0</v>
      </c>
      <c r="D422" s="1116">
        <v>0</v>
      </c>
      <c r="E422" s="1116">
        <v>9655</v>
      </c>
      <c r="F422" s="1116">
        <v>5948</v>
      </c>
      <c r="G422" s="1116">
        <v>1504</v>
      </c>
      <c r="H422" s="1116">
        <v>1980</v>
      </c>
      <c r="I422" s="1116">
        <v>9432</v>
      </c>
      <c r="J422" s="1116">
        <v>288</v>
      </c>
      <c r="K422" s="1116">
        <v>0</v>
      </c>
      <c r="L422" s="1116">
        <v>0</v>
      </c>
      <c r="M422" s="1116">
        <v>288</v>
      </c>
      <c r="N422" s="1116">
        <v>37235</v>
      </c>
      <c r="O422" s="1116">
        <v>1512</v>
      </c>
      <c r="P422" s="1116">
        <v>7611</v>
      </c>
      <c r="Q422" s="1116">
        <v>46358</v>
      </c>
      <c r="R422" s="1116">
        <v>106229</v>
      </c>
      <c r="S422" s="1116">
        <v>61400</v>
      </c>
      <c r="T422" s="1116">
        <v>22923</v>
      </c>
      <c r="U422" s="1116">
        <v>190552</v>
      </c>
      <c r="V422" s="1116">
        <v>11982</v>
      </c>
      <c r="W422" s="1116">
        <v>174055</v>
      </c>
      <c r="X422" s="1116">
        <v>1049</v>
      </c>
      <c r="Y422" s="1116">
        <v>187086</v>
      </c>
      <c r="Z422" s="1116">
        <v>171337</v>
      </c>
      <c r="AA422" s="1116">
        <v>238471</v>
      </c>
      <c r="AB422" s="1116">
        <v>33563</v>
      </c>
      <c r="AC422" s="1116">
        <v>443371</v>
      </c>
    </row>
    <row r="424" spans="1:30">
      <c r="C424" s="1116" t="s">
        <v>1651</v>
      </c>
    </row>
    <row r="425" spans="1:30">
      <c r="AD425" s="1116" t="s">
        <v>1925</v>
      </c>
    </row>
    <row r="427" spans="1:30">
      <c r="AA427" s="1116" t="s">
        <v>782</v>
      </c>
    </row>
    <row r="428" spans="1:30">
      <c r="A428" s="1116" t="s">
        <v>779</v>
      </c>
      <c r="C428" s="1116" t="s">
        <v>1</v>
      </c>
      <c r="O428" s="1116" t="s">
        <v>451</v>
      </c>
      <c r="S428" s="1116" t="s">
        <v>452</v>
      </c>
      <c r="W428" s="1116" t="s">
        <v>625</v>
      </c>
      <c r="AA428" s="1116" t="s">
        <v>403</v>
      </c>
    </row>
    <row r="429" spans="1:30">
      <c r="C429" s="1116" t="s">
        <v>1648</v>
      </c>
      <c r="G429" s="1116" t="s">
        <v>1649</v>
      </c>
      <c r="K429" s="1116" t="s">
        <v>1929</v>
      </c>
    </row>
    <row r="430" spans="1:30">
      <c r="C430" s="1116" t="s">
        <v>448</v>
      </c>
      <c r="D430" s="1116" t="s">
        <v>449</v>
      </c>
      <c r="E430" s="1116" t="s">
        <v>450</v>
      </c>
      <c r="F430" s="1116" t="s">
        <v>406</v>
      </c>
      <c r="G430" s="1116" t="s">
        <v>448</v>
      </c>
      <c r="H430" s="1116" t="s">
        <v>449</v>
      </c>
      <c r="I430" s="1116" t="s">
        <v>450</v>
      </c>
      <c r="J430" s="1116" t="s">
        <v>406</v>
      </c>
      <c r="K430" s="1116" t="s">
        <v>448</v>
      </c>
      <c r="L430" s="1116" t="s">
        <v>449</v>
      </c>
      <c r="M430" s="1116" t="s">
        <v>450</v>
      </c>
      <c r="N430" s="1116" t="s">
        <v>406</v>
      </c>
      <c r="O430" s="1116" t="s">
        <v>448</v>
      </c>
      <c r="P430" s="1116" t="s">
        <v>449</v>
      </c>
      <c r="Q430" s="1116" t="s">
        <v>450</v>
      </c>
      <c r="R430" s="1116" t="s">
        <v>406</v>
      </c>
      <c r="S430" s="1116" t="s">
        <v>448</v>
      </c>
      <c r="T430" s="1116" t="s">
        <v>449</v>
      </c>
      <c r="U430" s="1116" t="s">
        <v>450</v>
      </c>
      <c r="V430" s="1116" t="s">
        <v>406</v>
      </c>
      <c r="W430" s="1116" t="s">
        <v>448</v>
      </c>
      <c r="X430" s="1116" t="s">
        <v>449</v>
      </c>
      <c r="Y430" s="1116" t="s">
        <v>450</v>
      </c>
      <c r="Z430" s="1116" t="s">
        <v>406</v>
      </c>
      <c r="AA430" s="1116" t="s">
        <v>448</v>
      </c>
      <c r="AB430" s="1116" t="s">
        <v>449</v>
      </c>
      <c r="AC430" s="1116" t="s">
        <v>450</v>
      </c>
      <c r="AD430" s="1116" t="s">
        <v>403</v>
      </c>
    </row>
    <row r="431" spans="1:30">
      <c r="A431" s="1116" t="s">
        <v>1206</v>
      </c>
      <c r="C431" s="1116">
        <v>0</v>
      </c>
      <c r="D431" s="1116">
        <v>0</v>
      </c>
      <c r="E431" s="1116">
        <v>0</v>
      </c>
      <c r="F431" s="1116">
        <v>0</v>
      </c>
      <c r="G431" s="1116">
        <v>0</v>
      </c>
      <c r="H431" s="1116">
        <v>0</v>
      </c>
      <c r="I431" s="1116">
        <v>0</v>
      </c>
      <c r="J431" s="1116">
        <v>0</v>
      </c>
      <c r="K431" s="1116">
        <v>0</v>
      </c>
      <c r="L431" s="1116">
        <v>0</v>
      </c>
      <c r="M431" s="1116">
        <v>0</v>
      </c>
      <c r="N431" s="1116">
        <v>0</v>
      </c>
      <c r="O431" s="1116">
        <v>26000</v>
      </c>
      <c r="P431" s="1116">
        <v>6000</v>
      </c>
      <c r="Q431" s="1116">
        <v>3000</v>
      </c>
      <c r="R431" s="1116">
        <v>35000</v>
      </c>
      <c r="S431" s="1116">
        <v>7345</v>
      </c>
      <c r="T431" s="1116">
        <v>15200</v>
      </c>
      <c r="U431" s="1116">
        <v>5000</v>
      </c>
      <c r="V431" s="1116">
        <v>27545</v>
      </c>
      <c r="W431" s="1116">
        <v>730</v>
      </c>
      <c r="X431" s="1116">
        <v>18270</v>
      </c>
      <c r="Y431" s="1116">
        <v>0</v>
      </c>
      <c r="Z431" s="1116">
        <v>19000</v>
      </c>
      <c r="AA431" s="1116">
        <v>34075</v>
      </c>
      <c r="AB431" s="1116">
        <v>39470</v>
      </c>
      <c r="AC431" s="1116">
        <v>8000</v>
      </c>
      <c r="AD431" s="1116">
        <v>81545</v>
      </c>
    </row>
    <row r="432" spans="1:30">
      <c r="A432" s="1116">
        <v>44349</v>
      </c>
      <c r="B432" s="1116" t="s">
        <v>446</v>
      </c>
      <c r="C432" s="1116">
        <v>0</v>
      </c>
      <c r="D432" s="1116">
        <v>0</v>
      </c>
      <c r="E432" s="1116">
        <v>0</v>
      </c>
      <c r="F432" s="1116">
        <v>0</v>
      </c>
      <c r="G432" s="1116">
        <v>0</v>
      </c>
      <c r="H432" s="1116">
        <v>0</v>
      </c>
      <c r="I432" s="1116">
        <v>0</v>
      </c>
      <c r="J432" s="1116">
        <v>0</v>
      </c>
      <c r="K432" s="1116">
        <v>0</v>
      </c>
      <c r="L432" s="1116">
        <v>0</v>
      </c>
      <c r="M432" s="1116">
        <v>0</v>
      </c>
      <c r="N432" s="1116">
        <v>0</v>
      </c>
      <c r="O432" s="1116">
        <v>0</v>
      </c>
      <c r="P432" s="1116">
        <v>0</v>
      </c>
      <c r="Q432" s="1116">
        <v>0</v>
      </c>
      <c r="R432" s="1116">
        <v>0</v>
      </c>
      <c r="S432" s="1116">
        <v>2030</v>
      </c>
      <c r="T432" s="1116">
        <v>3715</v>
      </c>
      <c r="U432" s="1116">
        <v>0</v>
      </c>
      <c r="V432" s="1116">
        <v>5745</v>
      </c>
      <c r="W432" s="1116">
        <v>0</v>
      </c>
      <c r="X432" s="1116">
        <v>4220</v>
      </c>
      <c r="Y432" s="1116">
        <v>0</v>
      </c>
      <c r="Z432" s="1116">
        <v>4220</v>
      </c>
      <c r="AA432" s="1116">
        <v>2030</v>
      </c>
      <c r="AB432" s="1116">
        <v>7935</v>
      </c>
      <c r="AC432" s="1116">
        <v>0</v>
      </c>
      <c r="AD432" s="1116">
        <v>9965</v>
      </c>
    </row>
    <row r="433" spans="1:30">
      <c r="B433" s="1116" t="s">
        <v>444</v>
      </c>
      <c r="C433" s="1116">
        <v>0</v>
      </c>
      <c r="D433" s="1116">
        <v>0</v>
      </c>
      <c r="E433" s="1116">
        <v>0</v>
      </c>
      <c r="F433" s="1116">
        <v>0</v>
      </c>
      <c r="G433" s="1116">
        <v>0</v>
      </c>
      <c r="H433" s="1116">
        <v>0</v>
      </c>
      <c r="I433" s="1116">
        <v>0</v>
      </c>
      <c r="J433" s="1116">
        <v>0</v>
      </c>
      <c r="K433" s="1116">
        <v>1000</v>
      </c>
      <c r="L433" s="1116">
        <v>0</v>
      </c>
      <c r="M433" s="1116">
        <v>0</v>
      </c>
      <c r="N433" s="1116">
        <v>1000</v>
      </c>
      <c r="O433" s="1116">
        <v>0</v>
      </c>
      <c r="P433" s="1116">
        <v>0</v>
      </c>
      <c r="Q433" s="1116">
        <v>0</v>
      </c>
      <c r="R433" s="1116">
        <v>0</v>
      </c>
      <c r="S433" s="1116">
        <v>0</v>
      </c>
      <c r="T433" s="1116">
        <v>630</v>
      </c>
      <c r="U433" s="1116">
        <v>0</v>
      </c>
      <c r="V433" s="1116">
        <v>630</v>
      </c>
      <c r="W433" s="1116">
        <v>0</v>
      </c>
      <c r="X433" s="1116">
        <v>1592</v>
      </c>
      <c r="Y433" s="1116">
        <v>0</v>
      </c>
      <c r="Z433" s="1116">
        <v>1592</v>
      </c>
      <c r="AA433" s="1116">
        <v>1000</v>
      </c>
      <c r="AB433" s="1116">
        <v>2222</v>
      </c>
      <c r="AC433" s="1116">
        <v>0</v>
      </c>
      <c r="AD433" s="1116">
        <v>3222</v>
      </c>
    </row>
    <row r="434" spans="1:30">
      <c r="A434" s="1116" t="s">
        <v>1926</v>
      </c>
      <c r="B434" s="1116" t="s">
        <v>446</v>
      </c>
      <c r="C434" s="1116">
        <v>0</v>
      </c>
      <c r="D434" s="1116">
        <v>0</v>
      </c>
      <c r="E434" s="1116">
        <v>0</v>
      </c>
      <c r="F434" s="1116">
        <v>0</v>
      </c>
      <c r="G434" s="1116">
        <v>0</v>
      </c>
      <c r="H434" s="1116">
        <v>0</v>
      </c>
      <c r="I434" s="1116">
        <v>0</v>
      </c>
      <c r="J434" s="1116">
        <v>0</v>
      </c>
      <c r="K434" s="1116">
        <v>0</v>
      </c>
      <c r="L434" s="1116">
        <v>0</v>
      </c>
      <c r="M434" s="1116">
        <v>0</v>
      </c>
      <c r="N434" s="1116">
        <v>0</v>
      </c>
      <c r="O434" s="1116">
        <v>1500</v>
      </c>
      <c r="P434" s="1116">
        <v>0</v>
      </c>
      <c r="Q434" s="1116">
        <v>0</v>
      </c>
      <c r="R434" s="1116">
        <v>1500</v>
      </c>
      <c r="S434" s="1116">
        <v>2030</v>
      </c>
      <c r="T434" s="1116">
        <v>7715</v>
      </c>
      <c r="U434" s="1116">
        <v>1000</v>
      </c>
      <c r="V434" s="1116">
        <v>10745</v>
      </c>
      <c r="W434" s="1116">
        <v>0</v>
      </c>
      <c r="X434" s="1116">
        <v>7540</v>
      </c>
      <c r="Y434" s="1116">
        <v>0</v>
      </c>
      <c r="Z434" s="1116">
        <v>7540</v>
      </c>
      <c r="AA434" s="1116">
        <v>3530</v>
      </c>
      <c r="AB434" s="1116">
        <v>15255</v>
      </c>
      <c r="AC434" s="1116">
        <v>1000</v>
      </c>
      <c r="AD434" s="1116">
        <v>19785</v>
      </c>
    </row>
    <row r="435" spans="1:30">
      <c r="B435" s="1116" t="s">
        <v>444</v>
      </c>
      <c r="C435" s="1116">
        <v>0</v>
      </c>
      <c r="D435" s="1116">
        <v>0</v>
      </c>
      <c r="E435" s="1116">
        <v>0</v>
      </c>
      <c r="F435" s="1116">
        <v>0</v>
      </c>
      <c r="G435" s="1116">
        <v>0</v>
      </c>
      <c r="H435" s="1116">
        <v>0</v>
      </c>
      <c r="I435" s="1116">
        <v>0</v>
      </c>
      <c r="J435" s="1116">
        <v>0</v>
      </c>
      <c r="K435" s="1116">
        <v>1000</v>
      </c>
      <c r="L435" s="1116">
        <v>0</v>
      </c>
      <c r="M435" s="1116">
        <v>0</v>
      </c>
      <c r="N435" s="1116">
        <v>1000</v>
      </c>
      <c r="O435" s="1116">
        <v>3000</v>
      </c>
      <c r="P435" s="1116">
        <v>0</v>
      </c>
      <c r="Q435" s="1116">
        <v>0</v>
      </c>
      <c r="R435" s="1116">
        <v>3000</v>
      </c>
      <c r="S435" s="1116">
        <v>3530</v>
      </c>
      <c r="T435" s="1116">
        <v>1630</v>
      </c>
      <c r="U435" s="1116">
        <v>0</v>
      </c>
      <c r="V435" s="1116">
        <v>5160</v>
      </c>
      <c r="W435" s="1116">
        <v>0</v>
      </c>
      <c r="X435" s="1116">
        <v>2232</v>
      </c>
      <c r="Y435" s="1116">
        <v>0</v>
      </c>
      <c r="Z435" s="1116">
        <v>2232</v>
      </c>
      <c r="AA435" s="1116">
        <v>7530</v>
      </c>
      <c r="AB435" s="1116">
        <v>3862</v>
      </c>
      <c r="AC435" s="1116">
        <v>0</v>
      </c>
      <c r="AD435" s="1116">
        <v>11392</v>
      </c>
    </row>
    <row r="441" spans="1:30">
      <c r="A441" s="1116" t="s">
        <v>1930</v>
      </c>
    </row>
    <row r="442" spans="1:30">
      <c r="AC442" s="1116" t="s">
        <v>1925</v>
      </c>
    </row>
    <row r="444" spans="1:30">
      <c r="A444" s="1116" t="s">
        <v>1334</v>
      </c>
      <c r="AB444" s="1116" t="s">
        <v>1652</v>
      </c>
    </row>
    <row r="445" spans="1:30">
      <c r="A445" s="1116" t="s">
        <v>765</v>
      </c>
      <c r="B445" s="1116" t="s">
        <v>766</v>
      </c>
      <c r="F445" s="1116" t="s">
        <v>767</v>
      </c>
      <c r="J445" s="1116" t="s">
        <v>1650</v>
      </c>
      <c r="N445" s="1116" t="s">
        <v>451</v>
      </c>
      <c r="R445" s="1116" t="s">
        <v>452</v>
      </c>
      <c r="V445" s="1116" t="s">
        <v>625</v>
      </c>
      <c r="Z445" s="1116" t="s">
        <v>403</v>
      </c>
    </row>
    <row r="446" spans="1:30">
      <c r="B446" s="1116" t="s">
        <v>415</v>
      </c>
      <c r="C446" s="1116" t="s">
        <v>413</v>
      </c>
      <c r="D446" s="1116" t="s">
        <v>768</v>
      </c>
      <c r="E446" s="1116" t="s">
        <v>406</v>
      </c>
      <c r="F446" s="1116" t="s">
        <v>415</v>
      </c>
      <c r="G446" s="1116" t="s">
        <v>413</v>
      </c>
      <c r="H446" s="1116" t="s">
        <v>768</v>
      </c>
      <c r="I446" s="1116" t="s">
        <v>406</v>
      </c>
      <c r="J446" s="1116" t="s">
        <v>415</v>
      </c>
      <c r="K446" s="1116" t="s">
        <v>413</v>
      </c>
      <c r="L446" s="1116" t="s">
        <v>768</v>
      </c>
      <c r="M446" s="1116" t="s">
        <v>406</v>
      </c>
      <c r="N446" s="1116" t="s">
        <v>415</v>
      </c>
      <c r="O446" s="1116" t="s">
        <v>413</v>
      </c>
      <c r="P446" s="1116" t="s">
        <v>768</v>
      </c>
      <c r="Q446" s="1116" t="s">
        <v>406</v>
      </c>
      <c r="R446" s="1116" t="s">
        <v>415</v>
      </c>
      <c r="S446" s="1116" t="s">
        <v>413</v>
      </c>
      <c r="T446" s="1116" t="s">
        <v>768</v>
      </c>
      <c r="U446" s="1116" t="s">
        <v>406</v>
      </c>
      <c r="V446" s="1116" t="s">
        <v>415</v>
      </c>
      <c r="W446" s="1116" t="s">
        <v>413</v>
      </c>
      <c r="X446" s="1116" t="s">
        <v>768</v>
      </c>
      <c r="Y446" s="1116" t="s">
        <v>406</v>
      </c>
      <c r="Z446" s="1116" t="s">
        <v>415</v>
      </c>
      <c r="AA446" s="1116" t="s">
        <v>413</v>
      </c>
      <c r="AB446" s="1116" t="s">
        <v>768</v>
      </c>
      <c r="AC446" s="1116" t="s">
        <v>406</v>
      </c>
    </row>
    <row r="447" spans="1:30">
      <c r="A447" s="1116" t="s">
        <v>769</v>
      </c>
      <c r="B447" s="1116">
        <v>0</v>
      </c>
      <c r="C447" s="1116">
        <v>0</v>
      </c>
      <c r="D447" s="1116">
        <v>0</v>
      </c>
      <c r="E447" s="1116">
        <v>0</v>
      </c>
      <c r="F447" s="1116">
        <v>0</v>
      </c>
      <c r="G447" s="1116">
        <v>0</v>
      </c>
      <c r="H447" s="1116">
        <v>0</v>
      </c>
      <c r="I447" s="1116">
        <v>0</v>
      </c>
      <c r="J447" s="1116">
        <v>0</v>
      </c>
      <c r="K447" s="1116">
        <v>0</v>
      </c>
      <c r="L447" s="1116">
        <v>0</v>
      </c>
      <c r="M447" s="1116">
        <v>0</v>
      </c>
      <c r="N447" s="1116">
        <v>0</v>
      </c>
      <c r="O447" s="1116">
        <v>0</v>
      </c>
      <c r="P447" s="1116">
        <v>0</v>
      </c>
      <c r="Q447" s="1116">
        <v>0</v>
      </c>
      <c r="R447" s="1116">
        <v>715</v>
      </c>
      <c r="S447" s="1116">
        <v>8615</v>
      </c>
      <c r="T447" s="1116">
        <v>0</v>
      </c>
      <c r="U447" s="1116">
        <v>9330</v>
      </c>
      <c r="V447" s="1116">
        <v>500</v>
      </c>
      <c r="W447" s="1116">
        <v>36791</v>
      </c>
      <c r="X447" s="1116">
        <v>0</v>
      </c>
      <c r="Y447" s="1116">
        <v>37291</v>
      </c>
      <c r="Z447" s="1116">
        <v>1215</v>
      </c>
      <c r="AA447" s="1116">
        <v>45406</v>
      </c>
      <c r="AB447" s="1116">
        <v>0</v>
      </c>
      <c r="AC447" s="1116">
        <v>46621</v>
      </c>
    </row>
    <row r="448" spans="1:30">
      <c r="A448" s="1116" t="s">
        <v>770</v>
      </c>
      <c r="B448" s="1116">
        <v>0</v>
      </c>
      <c r="C448" s="1116">
        <v>0</v>
      </c>
      <c r="D448" s="1116">
        <v>0</v>
      </c>
      <c r="E448" s="1116">
        <v>0</v>
      </c>
      <c r="F448" s="1116">
        <v>0</v>
      </c>
      <c r="G448" s="1116">
        <v>0</v>
      </c>
      <c r="H448" s="1116">
        <v>0</v>
      </c>
      <c r="I448" s="1116">
        <v>0</v>
      </c>
      <c r="J448" s="1116">
        <v>0</v>
      </c>
      <c r="K448" s="1116">
        <v>0</v>
      </c>
      <c r="L448" s="1116">
        <v>0</v>
      </c>
      <c r="M448" s="1116">
        <v>0</v>
      </c>
      <c r="N448" s="1116">
        <v>0</v>
      </c>
      <c r="O448" s="1116">
        <v>0</v>
      </c>
      <c r="P448" s="1116">
        <v>0</v>
      </c>
      <c r="Q448" s="1116">
        <v>0</v>
      </c>
      <c r="R448" s="1116">
        <v>6760</v>
      </c>
      <c r="S448" s="1116">
        <v>14820</v>
      </c>
      <c r="T448" s="1116">
        <v>0</v>
      </c>
      <c r="U448" s="1116">
        <v>21580</v>
      </c>
      <c r="V448" s="1116">
        <v>1881</v>
      </c>
      <c r="W448" s="1116">
        <v>51861</v>
      </c>
      <c r="X448" s="1116">
        <v>0</v>
      </c>
      <c r="Y448" s="1116">
        <v>53742</v>
      </c>
      <c r="Z448" s="1116">
        <v>8641</v>
      </c>
      <c r="AA448" s="1116">
        <v>66681</v>
      </c>
      <c r="AB448" s="1116">
        <v>0</v>
      </c>
      <c r="AC448" s="1116">
        <v>75322</v>
      </c>
    </row>
    <row r="449" spans="1:29">
      <c r="A449" s="1116" t="s">
        <v>771</v>
      </c>
      <c r="B449" s="1116">
        <v>0</v>
      </c>
      <c r="C449" s="1116">
        <v>0</v>
      </c>
      <c r="D449" s="1116">
        <v>0</v>
      </c>
      <c r="E449" s="1116">
        <v>0</v>
      </c>
      <c r="F449" s="1116">
        <v>0</v>
      </c>
      <c r="G449" s="1116">
        <v>0</v>
      </c>
      <c r="H449" s="1116">
        <v>0</v>
      </c>
      <c r="I449" s="1116">
        <v>0</v>
      </c>
      <c r="J449" s="1116">
        <v>0</v>
      </c>
      <c r="K449" s="1116">
        <v>0</v>
      </c>
      <c r="L449" s="1116">
        <v>0</v>
      </c>
      <c r="M449" s="1116">
        <v>0</v>
      </c>
      <c r="N449" s="1116">
        <v>0</v>
      </c>
      <c r="O449" s="1116">
        <v>0</v>
      </c>
      <c r="P449" s="1116">
        <v>0</v>
      </c>
      <c r="Q449" s="1116">
        <v>0</v>
      </c>
      <c r="R449" s="1116">
        <v>17340</v>
      </c>
      <c r="S449" s="1116">
        <v>23525</v>
      </c>
      <c r="T449" s="1116">
        <v>0</v>
      </c>
      <c r="U449" s="1116">
        <v>40865</v>
      </c>
      <c r="V449" s="1116">
        <v>2566</v>
      </c>
      <c r="W449" s="1116">
        <v>81611</v>
      </c>
      <c r="X449" s="1116">
        <v>0</v>
      </c>
      <c r="Y449" s="1116">
        <v>84177</v>
      </c>
      <c r="Z449" s="1116">
        <v>19906</v>
      </c>
      <c r="AA449" s="1116">
        <v>105136</v>
      </c>
      <c r="AB449" s="1116">
        <v>0</v>
      </c>
      <c r="AC449" s="1116">
        <v>125042</v>
      </c>
    </row>
    <row r="450" spans="1:29">
      <c r="A450" s="1116" t="s">
        <v>772</v>
      </c>
      <c r="B450" s="1116">
        <v>0</v>
      </c>
      <c r="C450" s="1116">
        <v>0</v>
      </c>
      <c r="D450" s="1116">
        <v>0</v>
      </c>
      <c r="E450" s="1116">
        <v>0</v>
      </c>
      <c r="F450" s="1116">
        <v>3500</v>
      </c>
      <c r="G450" s="1116">
        <v>1700</v>
      </c>
      <c r="H450" s="1116">
        <v>0</v>
      </c>
      <c r="I450" s="1116">
        <v>5200</v>
      </c>
      <c r="J450" s="1116">
        <v>0</v>
      </c>
      <c r="K450" s="1116">
        <v>0</v>
      </c>
      <c r="L450" s="1116">
        <v>0</v>
      </c>
      <c r="M450" s="1116">
        <v>0</v>
      </c>
      <c r="N450" s="1116">
        <v>0</v>
      </c>
      <c r="O450" s="1116">
        <v>0</v>
      </c>
      <c r="P450" s="1116">
        <v>0</v>
      </c>
      <c r="Q450" s="1116">
        <v>0</v>
      </c>
      <c r="R450" s="1116">
        <v>23575</v>
      </c>
      <c r="S450" s="1116">
        <v>36805</v>
      </c>
      <c r="T450" s="1116">
        <v>0</v>
      </c>
      <c r="U450" s="1116">
        <v>60380</v>
      </c>
      <c r="V450" s="1116">
        <v>2866</v>
      </c>
      <c r="W450" s="1116">
        <v>113497</v>
      </c>
      <c r="X450" s="1116">
        <v>0</v>
      </c>
      <c r="Y450" s="1116">
        <v>116363</v>
      </c>
      <c r="Z450" s="1116">
        <v>29941</v>
      </c>
      <c r="AA450" s="1116">
        <v>152002</v>
      </c>
      <c r="AB450" s="1116">
        <v>0</v>
      </c>
      <c r="AC450" s="1116">
        <v>181943</v>
      </c>
    </row>
    <row r="451" spans="1:29">
      <c r="A451" s="1116" t="s">
        <v>773</v>
      </c>
      <c r="B451" s="1116">
        <v>0</v>
      </c>
      <c r="C451" s="1116">
        <v>0</v>
      </c>
      <c r="D451" s="1116">
        <v>0</v>
      </c>
      <c r="E451" s="1116">
        <v>0</v>
      </c>
      <c r="F451" s="1116">
        <v>6500</v>
      </c>
      <c r="G451" s="1116">
        <v>1700</v>
      </c>
      <c r="H451" s="1116">
        <v>0</v>
      </c>
      <c r="I451" s="1116">
        <v>8200</v>
      </c>
      <c r="J451" s="1116">
        <v>0</v>
      </c>
      <c r="K451" s="1116">
        <v>0</v>
      </c>
      <c r="L451" s="1116">
        <v>0</v>
      </c>
      <c r="M451" s="1116">
        <v>0</v>
      </c>
      <c r="N451" s="1116">
        <v>0</v>
      </c>
      <c r="O451" s="1116">
        <v>0</v>
      </c>
      <c r="P451" s="1116">
        <v>0</v>
      </c>
      <c r="Q451" s="1116">
        <v>0</v>
      </c>
      <c r="R451" s="1116">
        <v>40455</v>
      </c>
      <c r="S451" s="1116">
        <v>52487</v>
      </c>
      <c r="T451" s="1116">
        <v>0</v>
      </c>
      <c r="U451" s="1116">
        <v>92942</v>
      </c>
      <c r="V451" s="1116">
        <v>4276</v>
      </c>
      <c r="W451" s="1116">
        <v>152221</v>
      </c>
      <c r="X451" s="1116">
        <v>0</v>
      </c>
      <c r="Y451" s="1116">
        <v>156497</v>
      </c>
      <c r="Z451" s="1116">
        <v>51231</v>
      </c>
      <c r="AA451" s="1116">
        <v>206408</v>
      </c>
      <c r="AB451" s="1116">
        <v>0</v>
      </c>
      <c r="AC451" s="1116">
        <v>257639</v>
      </c>
    </row>
    <row r="452" spans="1:29">
      <c r="A452" s="1116" t="s">
        <v>774</v>
      </c>
      <c r="B452" s="1116">
        <v>0</v>
      </c>
      <c r="C452" s="1116">
        <v>0</v>
      </c>
      <c r="D452" s="1116">
        <v>0</v>
      </c>
      <c r="E452" s="1116">
        <v>0</v>
      </c>
      <c r="F452" s="1116">
        <v>8250</v>
      </c>
      <c r="G452" s="1116">
        <v>1500</v>
      </c>
      <c r="H452" s="1116">
        <v>0</v>
      </c>
      <c r="I452" s="1116">
        <v>9750</v>
      </c>
      <c r="J452" s="1116">
        <v>0</v>
      </c>
      <c r="K452" s="1116">
        <v>0</v>
      </c>
      <c r="L452" s="1116">
        <v>0</v>
      </c>
      <c r="M452" s="1116">
        <v>0</v>
      </c>
      <c r="N452" s="1116">
        <v>24000</v>
      </c>
      <c r="O452" s="1116">
        <v>1000</v>
      </c>
      <c r="P452" s="1116">
        <v>0</v>
      </c>
      <c r="Q452" s="1116">
        <v>25000</v>
      </c>
      <c r="R452" s="1116">
        <v>77225</v>
      </c>
      <c r="S452" s="1116">
        <v>73172</v>
      </c>
      <c r="T452" s="1116">
        <v>630</v>
      </c>
      <c r="U452" s="1116">
        <v>151027</v>
      </c>
      <c r="V452" s="1116">
        <v>6436</v>
      </c>
      <c r="W452" s="1116">
        <v>215771</v>
      </c>
      <c r="X452" s="1116">
        <v>1567</v>
      </c>
      <c r="Y452" s="1116">
        <v>223774</v>
      </c>
      <c r="Z452" s="1116">
        <v>115911</v>
      </c>
      <c r="AA452" s="1116">
        <v>291443</v>
      </c>
      <c r="AB452" s="1116">
        <v>2197</v>
      </c>
      <c r="AC452" s="1116">
        <v>409551</v>
      </c>
    </row>
    <row r="453" spans="1:29">
      <c r="A453" s="1116" t="s">
        <v>775</v>
      </c>
      <c r="B453" s="1116">
        <v>6000</v>
      </c>
      <c r="C453" s="1116">
        <v>0</v>
      </c>
      <c r="D453" s="1116">
        <v>0</v>
      </c>
      <c r="E453" s="1116">
        <v>6000</v>
      </c>
      <c r="F453" s="1116">
        <v>9500</v>
      </c>
      <c r="G453" s="1116">
        <v>1500</v>
      </c>
      <c r="H453" s="1116">
        <v>2500</v>
      </c>
      <c r="I453" s="1116">
        <v>13500</v>
      </c>
      <c r="J453" s="1116">
        <v>0</v>
      </c>
      <c r="K453" s="1116">
        <v>0</v>
      </c>
      <c r="L453" s="1116">
        <v>0</v>
      </c>
      <c r="M453" s="1116">
        <v>0</v>
      </c>
      <c r="N453" s="1116">
        <v>138000</v>
      </c>
      <c r="O453" s="1116">
        <v>15000</v>
      </c>
      <c r="P453" s="1116">
        <v>14500</v>
      </c>
      <c r="Q453" s="1116">
        <v>167500</v>
      </c>
      <c r="R453" s="1116">
        <v>116170</v>
      </c>
      <c r="S453" s="1116">
        <v>119117</v>
      </c>
      <c r="T453" s="1116">
        <v>5520</v>
      </c>
      <c r="U453" s="1116">
        <v>240807</v>
      </c>
      <c r="V453" s="1116">
        <v>9046</v>
      </c>
      <c r="W453" s="1116">
        <v>302345</v>
      </c>
      <c r="X453" s="1116">
        <v>1567</v>
      </c>
      <c r="Y453" s="1116">
        <v>312958</v>
      </c>
      <c r="Z453" s="1116">
        <v>278716</v>
      </c>
      <c r="AA453" s="1116">
        <v>437962</v>
      </c>
      <c r="AB453" s="1116">
        <v>24087</v>
      </c>
      <c r="AC453" s="1116">
        <v>740765</v>
      </c>
    </row>
    <row r="454" spans="1:29">
      <c r="A454" s="1116" t="s">
        <v>1333</v>
      </c>
      <c r="B454" s="1116">
        <v>9000</v>
      </c>
      <c r="C454" s="1116">
        <v>0</v>
      </c>
      <c r="D454" s="1116">
        <v>0</v>
      </c>
      <c r="E454" s="1116">
        <v>9000</v>
      </c>
      <c r="F454" s="1116">
        <v>9500</v>
      </c>
      <c r="G454" s="1116">
        <v>1500</v>
      </c>
      <c r="H454" s="1116">
        <v>2500</v>
      </c>
      <c r="I454" s="1116">
        <v>13500</v>
      </c>
      <c r="J454" s="1116">
        <v>0</v>
      </c>
      <c r="K454" s="1116">
        <v>0</v>
      </c>
      <c r="L454" s="1116">
        <v>0</v>
      </c>
      <c r="M454" s="1116">
        <v>0</v>
      </c>
      <c r="N454" s="1116">
        <v>175000</v>
      </c>
      <c r="O454" s="1116">
        <v>19000</v>
      </c>
      <c r="P454" s="1116">
        <v>17500</v>
      </c>
      <c r="Q454" s="1116">
        <v>211500</v>
      </c>
      <c r="R454" s="1116">
        <v>145325</v>
      </c>
      <c r="S454" s="1116">
        <v>156217</v>
      </c>
      <c r="T454" s="1116">
        <v>11640</v>
      </c>
      <c r="U454" s="1116">
        <v>313182</v>
      </c>
      <c r="V454" s="1116">
        <v>9531</v>
      </c>
      <c r="W454" s="1116">
        <v>340993</v>
      </c>
      <c r="X454" s="1116">
        <v>1957</v>
      </c>
      <c r="Y454" s="1116">
        <v>352481</v>
      </c>
      <c r="Z454" s="1116">
        <v>348356</v>
      </c>
      <c r="AA454" s="1116">
        <v>517710</v>
      </c>
      <c r="AB454" s="1116">
        <v>33597</v>
      </c>
      <c r="AC454" s="1116">
        <v>899663</v>
      </c>
    </row>
    <row r="455" spans="1:29">
      <c r="A455" s="1116" t="s">
        <v>1210</v>
      </c>
      <c r="B455" s="1116">
        <v>12000</v>
      </c>
      <c r="C455" s="1116">
        <v>0</v>
      </c>
      <c r="D455" s="1116">
        <v>0</v>
      </c>
      <c r="E455" s="1116">
        <v>12000</v>
      </c>
      <c r="F455" s="1116">
        <v>9500</v>
      </c>
      <c r="G455" s="1116">
        <v>1500</v>
      </c>
      <c r="H455" s="1116">
        <v>2500</v>
      </c>
      <c r="I455" s="1116">
        <v>13500</v>
      </c>
      <c r="J455" s="1116">
        <v>0</v>
      </c>
      <c r="K455" s="1116">
        <v>0</v>
      </c>
      <c r="L455" s="1116">
        <v>0</v>
      </c>
      <c r="M455" s="1116">
        <v>0</v>
      </c>
      <c r="N455" s="1116">
        <v>191500</v>
      </c>
      <c r="O455" s="1116">
        <v>19000</v>
      </c>
      <c r="P455" s="1116">
        <v>20500</v>
      </c>
      <c r="Q455" s="1116">
        <v>231000</v>
      </c>
      <c r="R455" s="1116">
        <v>156530</v>
      </c>
      <c r="S455" s="1116">
        <v>167602</v>
      </c>
      <c r="T455" s="1116">
        <v>13640</v>
      </c>
      <c r="U455" s="1116">
        <v>337772</v>
      </c>
      <c r="V455" s="1116">
        <v>9801</v>
      </c>
      <c r="W455" s="1116">
        <v>361863</v>
      </c>
      <c r="X455" s="1116">
        <v>1957</v>
      </c>
      <c r="Y455" s="1116">
        <v>373621</v>
      </c>
      <c r="Z455" s="1116">
        <v>379331</v>
      </c>
      <c r="AA455" s="1116">
        <v>549965</v>
      </c>
      <c r="AB455" s="1116">
        <v>38597</v>
      </c>
      <c r="AC455" s="1116">
        <v>967893</v>
      </c>
    </row>
    <row r="456" spans="1:29">
      <c r="A456" s="1116" t="s">
        <v>1506</v>
      </c>
      <c r="B456" s="1116">
        <v>15000</v>
      </c>
      <c r="C456" s="1116">
        <v>0</v>
      </c>
      <c r="D456" s="1116">
        <v>0</v>
      </c>
      <c r="E456" s="1116">
        <v>15000</v>
      </c>
      <c r="F456" s="1116">
        <v>9500</v>
      </c>
      <c r="G456" s="1116">
        <v>1500</v>
      </c>
      <c r="H456" s="1116">
        <v>2500</v>
      </c>
      <c r="I456" s="1116">
        <v>13500</v>
      </c>
      <c r="J456" s="1116">
        <v>1000</v>
      </c>
      <c r="K456" s="1116">
        <v>0</v>
      </c>
      <c r="L456" s="1116">
        <v>0</v>
      </c>
      <c r="M456" s="1116">
        <v>1000</v>
      </c>
      <c r="N456" s="1116">
        <v>199200</v>
      </c>
      <c r="O456" s="1116">
        <v>19000</v>
      </c>
      <c r="P456" s="1116">
        <v>20500</v>
      </c>
      <c r="Q456" s="1116">
        <v>238700</v>
      </c>
      <c r="R456" s="1116">
        <v>165290</v>
      </c>
      <c r="S456" s="1116">
        <v>178587</v>
      </c>
      <c r="T456" s="1116">
        <v>17850</v>
      </c>
      <c r="U456" s="1116">
        <v>361727</v>
      </c>
      <c r="V456" s="1116">
        <v>10671</v>
      </c>
      <c r="W456" s="1116">
        <v>382913</v>
      </c>
      <c r="X456" s="1116">
        <v>1957</v>
      </c>
      <c r="Y456" s="1116">
        <v>395541</v>
      </c>
      <c r="Z456" s="1116">
        <v>400661</v>
      </c>
      <c r="AA456" s="1116">
        <v>582000</v>
      </c>
      <c r="AB456" s="1116">
        <v>42807</v>
      </c>
      <c r="AC456" s="1116">
        <v>1025468</v>
      </c>
    </row>
    <row r="461" spans="1:29">
      <c r="C461" s="1116" t="s">
        <v>1931</v>
      </c>
    </row>
    <row r="463" spans="1:29">
      <c r="A463" s="1116" t="s">
        <v>1335</v>
      </c>
      <c r="F463" s="1116" t="s">
        <v>1653</v>
      </c>
      <c r="G463" s="1116">
        <v>13450</v>
      </c>
      <c r="H463" s="1116" t="s">
        <v>940</v>
      </c>
    </row>
    <row r="464" spans="1:29">
      <c r="A464" s="1116" t="s">
        <v>1336</v>
      </c>
      <c r="F464" s="1116" t="s">
        <v>1653</v>
      </c>
      <c r="G464" s="1116">
        <v>13700</v>
      </c>
      <c r="H464" s="1116" t="s">
        <v>940</v>
      </c>
    </row>
    <row r="465" spans="1:9">
      <c r="A465" s="1116" t="s">
        <v>1337</v>
      </c>
      <c r="F465" s="1116" t="s">
        <v>1653</v>
      </c>
      <c r="G465" s="1116">
        <v>27150</v>
      </c>
      <c r="H465" s="1116" t="s">
        <v>1654</v>
      </c>
    </row>
    <row r="466" spans="1:9">
      <c r="A466" s="1116" t="s">
        <v>1338</v>
      </c>
      <c r="F466" s="1116" t="s">
        <v>1653</v>
      </c>
      <c r="G466" s="1116">
        <v>47900</v>
      </c>
      <c r="H466" s="1116" t="s">
        <v>940</v>
      </c>
    </row>
    <row r="467" spans="1:9">
      <c r="A467" s="1116" t="s">
        <v>1339</v>
      </c>
      <c r="F467" s="1116" t="s">
        <v>1653</v>
      </c>
      <c r="G467" s="1116">
        <v>75050</v>
      </c>
      <c r="H467" s="1116" t="s">
        <v>1654</v>
      </c>
    </row>
    <row r="468" spans="1:9">
      <c r="A468" s="1116" t="s">
        <v>1340</v>
      </c>
      <c r="F468" s="1116" t="s">
        <v>1653</v>
      </c>
      <c r="G468" s="1116">
        <v>4200</v>
      </c>
      <c r="H468" s="1116" t="s">
        <v>940</v>
      </c>
    </row>
    <row r="469" spans="1:9">
      <c r="A469" s="1116" t="s">
        <v>1341</v>
      </c>
      <c r="F469" s="1116" t="s">
        <v>1653</v>
      </c>
      <c r="G469" s="1116">
        <v>4200</v>
      </c>
      <c r="H469" s="1116" t="s">
        <v>940</v>
      </c>
    </row>
    <row r="470" spans="1:9">
      <c r="A470" s="1116" t="s">
        <v>1932</v>
      </c>
      <c r="F470" s="1116" t="s">
        <v>1653</v>
      </c>
      <c r="G470" s="1116" t="s">
        <v>1655</v>
      </c>
      <c r="H470" s="1116" t="s">
        <v>940</v>
      </c>
    </row>
    <row r="471" spans="1:9">
      <c r="A471" s="1116" t="s">
        <v>1933</v>
      </c>
      <c r="F471" s="1116" t="s">
        <v>1653</v>
      </c>
      <c r="G471" s="1116">
        <v>105050</v>
      </c>
      <c r="H471" s="1116" t="s">
        <v>1654</v>
      </c>
    </row>
    <row r="473" spans="1:9">
      <c r="A473" s="1116" t="s">
        <v>1342</v>
      </c>
      <c r="B473" s="1116" t="s">
        <v>1656</v>
      </c>
      <c r="C473" s="1116" t="s">
        <v>1657</v>
      </c>
      <c r="D473" s="1116" t="s">
        <v>1658</v>
      </c>
      <c r="E473" s="1116" t="s">
        <v>1659</v>
      </c>
      <c r="F473" s="1116" t="s">
        <v>1660</v>
      </c>
      <c r="G473" s="1116" t="s">
        <v>1661</v>
      </c>
      <c r="H473" s="1116" t="s">
        <v>1662</v>
      </c>
      <c r="I473" s="1116" t="s">
        <v>1232</v>
      </c>
    </row>
    <row r="474" spans="1:9">
      <c r="A474" s="1116" t="s">
        <v>1343</v>
      </c>
      <c r="B474" s="1116">
        <v>1260</v>
      </c>
      <c r="C474" s="1116">
        <v>4390</v>
      </c>
      <c r="D474" s="1116">
        <v>12130</v>
      </c>
      <c r="E474" s="1116">
        <v>3630</v>
      </c>
      <c r="F474" s="1116">
        <v>0</v>
      </c>
      <c r="G474" s="1116">
        <v>4220</v>
      </c>
      <c r="H474" s="1116">
        <v>1520</v>
      </c>
      <c r="I474" s="1116" t="s">
        <v>1663</v>
      </c>
    </row>
    <row r="475" spans="1:9">
      <c r="A475" s="1116" t="s">
        <v>1344</v>
      </c>
      <c r="B475" s="1116">
        <v>1600</v>
      </c>
      <c r="C475" s="1116">
        <v>8400</v>
      </c>
      <c r="D475" s="1116">
        <v>8900</v>
      </c>
      <c r="E475" s="1116">
        <v>4200</v>
      </c>
      <c r="F475" s="1116">
        <v>3000</v>
      </c>
      <c r="G475" s="1116">
        <v>11200</v>
      </c>
      <c r="H475" s="1116">
        <v>10600</v>
      </c>
      <c r="I475" s="1116" t="s">
        <v>1664</v>
      </c>
    </row>
    <row r="476" spans="1:9">
      <c r="A476" s="1116" t="s">
        <v>1345</v>
      </c>
      <c r="B476" s="1116">
        <v>2860</v>
      </c>
      <c r="C476" s="1116">
        <v>12790</v>
      </c>
      <c r="D476" s="1116">
        <v>21030</v>
      </c>
      <c r="E476" s="1116">
        <v>7830</v>
      </c>
      <c r="F476" s="1116">
        <v>3000</v>
      </c>
      <c r="G476" s="1116">
        <v>15420</v>
      </c>
      <c r="H476" s="1116">
        <v>12120</v>
      </c>
      <c r="I476" s="1116" t="s">
        <v>1665</v>
      </c>
    </row>
    <row r="477" spans="1:9">
      <c r="A477" s="1116" t="s">
        <v>1934</v>
      </c>
      <c r="C477" s="1116">
        <v>8400</v>
      </c>
      <c r="D477" s="1116">
        <v>1500</v>
      </c>
      <c r="G477" s="1116">
        <v>17100</v>
      </c>
      <c r="H477" s="1116">
        <v>3000</v>
      </c>
      <c r="I477" s="1116" t="s">
        <v>1655</v>
      </c>
    </row>
    <row r="478" spans="1:9">
      <c r="A478" s="1116" t="s">
        <v>1935</v>
      </c>
      <c r="B478" s="1116">
        <v>2860</v>
      </c>
      <c r="C478" s="1116">
        <v>21190</v>
      </c>
      <c r="D478" s="1116">
        <v>22530</v>
      </c>
      <c r="E478" s="1116">
        <v>7830</v>
      </c>
      <c r="F478" s="1116">
        <v>3000</v>
      </c>
      <c r="G478" s="1116">
        <v>32520</v>
      </c>
      <c r="H478" s="1116">
        <v>15120</v>
      </c>
      <c r="I478" s="1116" t="s">
        <v>1666</v>
      </c>
    </row>
    <row r="479" spans="1:9">
      <c r="A479" s="1116" t="s">
        <v>918</v>
      </c>
    </row>
    <row r="501" spans="1:27">
      <c r="A501" s="1116" t="s">
        <v>1793</v>
      </c>
      <c r="B501" s="1116" t="s">
        <v>1794</v>
      </c>
      <c r="C501" s="1116" t="s">
        <v>1606</v>
      </c>
      <c r="E501" s="1116" t="s">
        <v>1269</v>
      </c>
      <c r="G501" s="1116" t="s">
        <v>1777</v>
      </c>
      <c r="I501" s="1116" t="s">
        <v>1795</v>
      </c>
      <c r="K501" s="1116" t="s">
        <v>1796</v>
      </c>
      <c r="M501" s="1116" t="s">
        <v>9</v>
      </c>
      <c r="O501" s="1116" t="s">
        <v>1797</v>
      </c>
      <c r="Q501" s="1116" t="s">
        <v>136</v>
      </c>
      <c r="S501" s="1116" t="s">
        <v>1267</v>
      </c>
      <c r="U501" s="1116" t="s">
        <v>138</v>
      </c>
      <c r="W501" s="1116" t="s">
        <v>1268</v>
      </c>
      <c r="Y501" s="1116" t="s">
        <v>1259</v>
      </c>
      <c r="AA501" s="1116" t="s">
        <v>1232</v>
      </c>
    </row>
    <row r="502" spans="1:27">
      <c r="C502" s="1116" t="s">
        <v>1798</v>
      </c>
      <c r="D502" s="1116" t="s">
        <v>1799</v>
      </c>
      <c r="E502" s="1116" t="s">
        <v>1798</v>
      </c>
      <c r="F502" s="1116" t="s">
        <v>1799</v>
      </c>
      <c r="G502" s="1116" t="s">
        <v>1798</v>
      </c>
      <c r="H502" s="1116" t="s">
        <v>1799</v>
      </c>
      <c r="I502" s="1116" t="s">
        <v>1798</v>
      </c>
      <c r="J502" s="1116" t="s">
        <v>1799</v>
      </c>
      <c r="K502" s="1116" t="s">
        <v>1798</v>
      </c>
      <c r="L502" s="1116" t="s">
        <v>1799</v>
      </c>
      <c r="M502" s="1116" t="s">
        <v>1798</v>
      </c>
      <c r="N502" s="1116" t="s">
        <v>1799</v>
      </c>
      <c r="O502" s="1116" t="s">
        <v>1798</v>
      </c>
      <c r="P502" s="1116" t="s">
        <v>1799</v>
      </c>
      <c r="Q502" s="1116" t="s">
        <v>1798</v>
      </c>
      <c r="R502" s="1116" t="s">
        <v>1799</v>
      </c>
      <c r="S502" s="1116" t="s">
        <v>1798</v>
      </c>
      <c r="T502" s="1116" t="s">
        <v>1799</v>
      </c>
      <c r="U502" s="1116" t="s">
        <v>1798</v>
      </c>
      <c r="V502" s="1116" t="s">
        <v>1799</v>
      </c>
      <c r="W502" s="1116" t="s">
        <v>1798</v>
      </c>
      <c r="X502" s="1116" t="s">
        <v>1799</v>
      </c>
      <c r="Y502" s="1116" t="s">
        <v>1798</v>
      </c>
      <c r="Z502" s="1116" t="s">
        <v>1799</v>
      </c>
    </row>
    <row r="503" spans="1:27">
      <c r="A503" s="1116">
        <v>2</v>
      </c>
      <c r="C503" s="1116">
        <v>3</v>
      </c>
      <c r="E503" s="1116">
        <v>4</v>
      </c>
      <c r="G503" s="1116">
        <v>5</v>
      </c>
      <c r="I503" s="1116">
        <v>6</v>
      </c>
      <c r="K503" s="1116">
        <v>7</v>
      </c>
      <c r="M503" s="1116">
        <v>8</v>
      </c>
      <c r="O503" s="1116">
        <v>9</v>
      </c>
      <c r="Q503" s="1116">
        <v>10</v>
      </c>
      <c r="S503" s="1116">
        <v>11</v>
      </c>
      <c r="U503" s="1116">
        <v>12</v>
      </c>
      <c r="W503" s="1116">
        <v>13</v>
      </c>
      <c r="Y503" s="1116">
        <v>14</v>
      </c>
      <c r="AA503" s="1116">
        <v>15</v>
      </c>
    </row>
    <row r="504" spans="1:27">
      <c r="B504" s="1116" t="s">
        <v>107</v>
      </c>
      <c r="C504" s="1116" t="s">
        <v>1800</v>
      </c>
    </row>
    <row r="505" spans="1:27">
      <c r="B505" s="1116" t="s">
        <v>127</v>
      </c>
    </row>
    <row r="506" spans="1:27">
      <c r="B506" s="1116" t="s">
        <v>1801</v>
      </c>
      <c r="I506" s="1116">
        <v>0.01</v>
      </c>
      <c r="AA506" s="1116">
        <v>0.01</v>
      </c>
    </row>
    <row r="507" spans="1:27">
      <c r="B507" s="1116" t="s">
        <v>1802</v>
      </c>
      <c r="E507" s="1116">
        <v>0</v>
      </c>
      <c r="F507" s="1116">
        <v>0</v>
      </c>
      <c r="AA507" s="1116">
        <v>0</v>
      </c>
    </row>
    <row r="508" spans="1:27">
      <c r="B508" s="1116" t="s">
        <v>1803</v>
      </c>
      <c r="E508" s="1116">
        <v>0.53</v>
      </c>
      <c r="F508" s="1116">
        <v>1.32</v>
      </c>
      <c r="AA508" s="1116">
        <v>1.85</v>
      </c>
    </row>
    <row r="509" spans="1:27">
      <c r="B509" s="1116" t="s">
        <v>142</v>
      </c>
      <c r="K509" s="1116">
        <v>28.27</v>
      </c>
      <c r="L509" s="1116">
        <v>1.02</v>
      </c>
    </row>
    <row r="510" spans="1:27">
      <c r="B510" s="1116" t="s">
        <v>1804</v>
      </c>
      <c r="C510" s="1116">
        <v>0</v>
      </c>
      <c r="D510" s="1116">
        <v>0</v>
      </c>
      <c r="E510" s="1116">
        <v>0.53</v>
      </c>
      <c r="F510" s="1116">
        <v>1.32</v>
      </c>
      <c r="G510" s="1116">
        <v>0</v>
      </c>
      <c r="H510" s="1116">
        <v>0</v>
      </c>
      <c r="I510" s="1116">
        <v>0.01</v>
      </c>
      <c r="J510" s="1116">
        <v>0</v>
      </c>
      <c r="K510" s="1116">
        <v>28.27</v>
      </c>
      <c r="L510" s="1116">
        <v>1.02</v>
      </c>
      <c r="M510" s="1116">
        <v>0</v>
      </c>
      <c r="N510" s="1116">
        <v>0</v>
      </c>
      <c r="O510" s="1116">
        <v>0</v>
      </c>
      <c r="P510" s="1116">
        <v>0</v>
      </c>
      <c r="Q510" s="1116">
        <v>0</v>
      </c>
      <c r="R510" s="1116">
        <v>0</v>
      </c>
      <c r="S510" s="1116">
        <v>0</v>
      </c>
      <c r="T510" s="1116">
        <v>0</v>
      </c>
      <c r="U510" s="1116">
        <v>0</v>
      </c>
      <c r="V510" s="1116">
        <v>0</v>
      </c>
      <c r="W510" s="1116">
        <v>0</v>
      </c>
      <c r="X510" s="1116">
        <v>0</v>
      </c>
      <c r="Y510" s="1116">
        <v>0</v>
      </c>
      <c r="AA510" s="1116">
        <v>31.15</v>
      </c>
    </row>
    <row r="511" spans="1:27">
      <c r="B511" s="1116" t="s">
        <v>1805</v>
      </c>
    </row>
    <row r="512" spans="1:27">
      <c r="B512" s="1116" t="s">
        <v>1806</v>
      </c>
      <c r="E512" s="1116">
        <v>7.0000000000000007E-2</v>
      </c>
      <c r="K512" s="1116">
        <v>0.47</v>
      </c>
      <c r="L512" s="1116">
        <v>1.78</v>
      </c>
      <c r="Q512" s="1116">
        <v>0</v>
      </c>
      <c r="R512" s="1116">
        <v>0.32</v>
      </c>
      <c r="T512" s="1116">
        <v>0.28000000000000003</v>
      </c>
      <c r="AA512" s="1116">
        <v>2.92</v>
      </c>
    </row>
    <row r="513" spans="2:27">
      <c r="B513" s="1116" t="s">
        <v>1807</v>
      </c>
      <c r="K513" s="1116" t="s">
        <v>426</v>
      </c>
      <c r="AA513" s="1116">
        <v>0</v>
      </c>
    </row>
    <row r="514" spans="2:27">
      <c r="B514" s="1116" t="s">
        <v>1808</v>
      </c>
      <c r="C514" s="1116">
        <v>0</v>
      </c>
      <c r="D514" s="1116">
        <v>0</v>
      </c>
      <c r="E514" s="1116">
        <v>7.0000000000000007E-2</v>
      </c>
      <c r="F514" s="1116">
        <v>0</v>
      </c>
      <c r="G514" s="1116">
        <v>0</v>
      </c>
      <c r="H514" s="1116">
        <v>0</v>
      </c>
      <c r="I514" s="1116">
        <v>0</v>
      </c>
      <c r="J514" s="1116">
        <v>0</v>
      </c>
      <c r="K514" s="1116">
        <v>0.47</v>
      </c>
      <c r="L514" s="1116">
        <v>1.78</v>
      </c>
      <c r="O514" s="1116">
        <v>0</v>
      </c>
      <c r="P514" s="1116">
        <v>0</v>
      </c>
      <c r="Q514" s="1116">
        <v>0</v>
      </c>
      <c r="R514" s="1116">
        <v>0.32</v>
      </c>
      <c r="S514" s="1116">
        <v>0</v>
      </c>
      <c r="T514" s="1116">
        <v>0.28000000000000003</v>
      </c>
      <c r="U514" s="1116">
        <v>0</v>
      </c>
      <c r="V514" s="1116">
        <v>0</v>
      </c>
      <c r="W514" s="1116">
        <v>0</v>
      </c>
      <c r="X514" s="1116">
        <v>0</v>
      </c>
      <c r="Y514" s="1116">
        <v>0</v>
      </c>
      <c r="AA514" s="1116">
        <v>2.92</v>
      </c>
    </row>
    <row r="515" spans="2:27">
      <c r="B515" s="1116" t="s">
        <v>125</v>
      </c>
    </row>
    <row r="516" spans="2:27">
      <c r="B516" s="1116" t="s">
        <v>1809</v>
      </c>
      <c r="AA516" s="1116">
        <v>0</v>
      </c>
    </row>
    <row r="517" spans="2:27">
      <c r="B517" s="1116" t="s">
        <v>1810</v>
      </c>
      <c r="C517" s="1116">
        <v>0</v>
      </c>
      <c r="G517" s="1116">
        <v>10.3</v>
      </c>
      <c r="R517" s="1116">
        <v>14.43</v>
      </c>
      <c r="AA517" s="1116">
        <v>24.73</v>
      </c>
    </row>
    <row r="518" spans="2:27">
      <c r="B518" s="1116" t="s">
        <v>1811</v>
      </c>
      <c r="AA518" s="1116">
        <v>0</v>
      </c>
    </row>
    <row r="519" spans="2:27">
      <c r="B519" s="1116" t="s">
        <v>1812</v>
      </c>
      <c r="E519" s="1116">
        <v>0.13</v>
      </c>
      <c r="K519" s="1116">
        <v>0.54</v>
      </c>
      <c r="L519" s="1116">
        <v>0</v>
      </c>
      <c r="AA519" s="1116">
        <v>0.67</v>
      </c>
    </row>
    <row r="520" spans="2:27">
      <c r="B520" s="1116" t="s">
        <v>1813</v>
      </c>
      <c r="C520" s="1116">
        <v>20</v>
      </c>
      <c r="E520" s="1116">
        <v>11.28</v>
      </c>
      <c r="F520" s="1116">
        <v>0</v>
      </c>
      <c r="G520" s="1116">
        <v>39</v>
      </c>
      <c r="K520" s="1116">
        <v>134.54</v>
      </c>
      <c r="L520" s="1116">
        <v>224.64</v>
      </c>
      <c r="M520" s="1116">
        <v>552.09</v>
      </c>
      <c r="N520" s="1116">
        <v>0</v>
      </c>
      <c r="U520" s="1116">
        <v>87.09</v>
      </c>
      <c r="V520" s="1116">
        <v>134.1</v>
      </c>
      <c r="AA520" s="1116">
        <v>1202.7399999999998</v>
      </c>
    </row>
    <row r="521" spans="2:27">
      <c r="B521" s="1116" t="s">
        <v>1814</v>
      </c>
      <c r="K521" s="1116">
        <v>0</v>
      </c>
      <c r="L521" s="1116">
        <v>53.63</v>
      </c>
      <c r="U521" s="1116">
        <v>154.55000000000001</v>
      </c>
      <c r="V521" s="1116">
        <v>6.95</v>
      </c>
      <c r="AA521" s="1116">
        <v>215.13</v>
      </c>
    </row>
    <row r="522" spans="2:27">
      <c r="B522" s="1116" t="s">
        <v>1815</v>
      </c>
      <c r="C522" s="1116">
        <v>20</v>
      </c>
      <c r="D522" s="1116">
        <v>0</v>
      </c>
      <c r="E522" s="1116">
        <v>11.41</v>
      </c>
      <c r="F522" s="1116">
        <v>0</v>
      </c>
      <c r="G522" s="1116">
        <v>49.3</v>
      </c>
      <c r="H522" s="1116">
        <v>0</v>
      </c>
      <c r="I522" s="1116">
        <v>0</v>
      </c>
      <c r="J522" s="1116">
        <v>0</v>
      </c>
      <c r="K522" s="1116">
        <v>135.07999999999998</v>
      </c>
      <c r="L522" s="1116">
        <v>278.27</v>
      </c>
      <c r="M522" s="1116">
        <v>552.09</v>
      </c>
      <c r="N522" s="1116">
        <v>0</v>
      </c>
      <c r="O522" s="1116">
        <v>0</v>
      </c>
      <c r="P522" s="1116">
        <v>0</v>
      </c>
      <c r="Q522" s="1116">
        <v>0</v>
      </c>
      <c r="R522" s="1116">
        <v>14.43</v>
      </c>
      <c r="S522" s="1116">
        <v>0</v>
      </c>
      <c r="T522" s="1116">
        <v>0</v>
      </c>
      <c r="U522" s="1116">
        <v>241.64000000000001</v>
      </c>
      <c r="V522" s="1116">
        <v>141.04999999999998</v>
      </c>
      <c r="W522" s="1116">
        <v>0</v>
      </c>
      <c r="X522" s="1116">
        <v>0</v>
      </c>
      <c r="Y522" s="1116">
        <v>0</v>
      </c>
      <c r="AA522" s="1116">
        <v>1443.2700000000002</v>
      </c>
    </row>
    <row r="523" spans="2:27">
      <c r="B523" s="1116" t="s">
        <v>1816</v>
      </c>
      <c r="L523" s="1116" t="s">
        <v>94</v>
      </c>
    </row>
    <row r="524" spans="2:27">
      <c r="B524" s="1116" t="s">
        <v>1817</v>
      </c>
      <c r="C524" s="1116">
        <v>3390</v>
      </c>
      <c r="E524" s="1116">
        <v>97.22</v>
      </c>
      <c r="F524" s="1116">
        <v>0.46</v>
      </c>
      <c r="G524" s="1116">
        <v>681.3</v>
      </c>
      <c r="H524" s="1116">
        <v>68.400000000000006</v>
      </c>
      <c r="K524" s="1116">
        <v>7.29</v>
      </c>
      <c r="L524" s="1116">
        <v>98.46</v>
      </c>
      <c r="Q524" s="1116">
        <v>382.39</v>
      </c>
      <c r="R524" s="1116">
        <v>93.45</v>
      </c>
      <c r="T524" s="1116">
        <v>0.23</v>
      </c>
      <c r="U524" s="1116">
        <v>12.82</v>
      </c>
      <c r="V524" s="1116">
        <v>39.450000000000003</v>
      </c>
      <c r="AA524" s="1116">
        <v>4871.4699999999984</v>
      </c>
    </row>
    <row r="525" spans="2:27">
      <c r="B525" s="1116" t="s">
        <v>1818</v>
      </c>
      <c r="E525" s="1116">
        <v>1080.55</v>
      </c>
      <c r="F525" s="1116">
        <v>15.95</v>
      </c>
      <c r="U525" s="1116">
        <v>275.18</v>
      </c>
      <c r="V525" s="1116">
        <v>3.91</v>
      </c>
      <c r="AA525" s="1116">
        <v>1375.5900000000001</v>
      </c>
    </row>
    <row r="526" spans="2:27">
      <c r="B526" s="1116" t="s">
        <v>1819</v>
      </c>
      <c r="K526" s="1116">
        <v>530.32000000000005</v>
      </c>
      <c r="L526" s="1116">
        <v>40.69</v>
      </c>
      <c r="AA526" s="1116">
        <v>571.01</v>
      </c>
    </row>
    <row r="527" spans="2:27">
      <c r="B527" s="1116" t="s">
        <v>1820</v>
      </c>
      <c r="C527" s="1116">
        <v>3390</v>
      </c>
      <c r="D527" s="1116">
        <v>0</v>
      </c>
      <c r="E527" s="1116">
        <v>1177.77</v>
      </c>
      <c r="F527" s="1116">
        <v>16.41</v>
      </c>
      <c r="G527" s="1116">
        <v>681.3</v>
      </c>
      <c r="H527" s="1116">
        <v>68.400000000000006</v>
      </c>
      <c r="I527" s="1116">
        <v>0</v>
      </c>
      <c r="J527" s="1116">
        <v>0</v>
      </c>
      <c r="K527" s="1116">
        <v>537.61</v>
      </c>
      <c r="L527" s="1116">
        <v>139.14999999999998</v>
      </c>
      <c r="M527" s="1116">
        <v>0</v>
      </c>
      <c r="N527" s="1116">
        <v>0</v>
      </c>
      <c r="O527" s="1116">
        <v>0</v>
      </c>
      <c r="P527" s="1116">
        <v>0</v>
      </c>
      <c r="Q527" s="1116">
        <v>382.39</v>
      </c>
      <c r="R527" s="1116">
        <v>93.45</v>
      </c>
      <c r="S527" s="1116">
        <v>0</v>
      </c>
      <c r="T527" s="1116">
        <v>0.23</v>
      </c>
      <c r="U527" s="1116">
        <v>288</v>
      </c>
      <c r="V527" s="1116">
        <v>43.36</v>
      </c>
      <c r="W527" s="1116">
        <v>0</v>
      </c>
      <c r="X527" s="1116">
        <v>0</v>
      </c>
      <c r="Y527" s="1116">
        <v>0</v>
      </c>
      <c r="Z527" s="1116">
        <v>0</v>
      </c>
      <c r="AA527" s="1116">
        <v>6818.0699999999988</v>
      </c>
    </row>
    <row r="528" spans="2:27">
      <c r="B528" s="1116" t="s">
        <v>172</v>
      </c>
    </row>
    <row r="529" spans="2:27">
      <c r="B529" s="1116" t="s">
        <v>1821</v>
      </c>
      <c r="G529" s="1116">
        <v>2.2000000000000002</v>
      </c>
      <c r="H529" s="1116">
        <v>2.4</v>
      </c>
      <c r="K529" s="1116">
        <v>16.260000000000002</v>
      </c>
      <c r="L529" s="1116">
        <v>7.7</v>
      </c>
      <c r="M529" s="1116">
        <v>76.180000000000007</v>
      </c>
      <c r="N529" s="1116">
        <v>0.64</v>
      </c>
      <c r="AA529" s="1116">
        <v>105.38000000000001</v>
      </c>
    </row>
    <row r="530" spans="2:27">
      <c r="B530" s="1116" t="s">
        <v>1412</v>
      </c>
      <c r="E530" s="1116">
        <v>35.28</v>
      </c>
      <c r="F530" s="1116">
        <v>24.56</v>
      </c>
      <c r="Q530" s="1116">
        <v>0</v>
      </c>
      <c r="R530" s="1116">
        <v>0</v>
      </c>
      <c r="U530" s="1116">
        <v>1.69</v>
      </c>
      <c r="V530" s="1116">
        <v>0</v>
      </c>
      <c r="AA530" s="1116">
        <v>61.53</v>
      </c>
    </row>
    <row r="531" spans="2:27">
      <c r="B531" s="1116" t="s">
        <v>1822</v>
      </c>
      <c r="C531" s="1116">
        <v>0</v>
      </c>
      <c r="D531" s="1116">
        <v>0</v>
      </c>
      <c r="E531" s="1116">
        <v>35.28</v>
      </c>
      <c r="F531" s="1116">
        <v>24.56</v>
      </c>
      <c r="G531" s="1116">
        <v>2.2000000000000002</v>
      </c>
      <c r="H531" s="1116">
        <v>2.4</v>
      </c>
      <c r="I531" s="1116">
        <v>0</v>
      </c>
      <c r="J531" s="1116">
        <v>0</v>
      </c>
      <c r="K531" s="1116">
        <v>16.260000000000002</v>
      </c>
      <c r="L531" s="1116">
        <v>7.7</v>
      </c>
      <c r="M531" s="1116">
        <v>76.180000000000007</v>
      </c>
      <c r="N531" s="1116">
        <v>0.64</v>
      </c>
      <c r="O531" s="1116">
        <v>0</v>
      </c>
      <c r="P531" s="1116">
        <v>0</v>
      </c>
      <c r="Q531" s="1116">
        <v>0</v>
      </c>
      <c r="R531" s="1116">
        <v>0</v>
      </c>
      <c r="S531" s="1116">
        <v>0</v>
      </c>
      <c r="T531" s="1116">
        <v>0</v>
      </c>
      <c r="U531" s="1116">
        <v>1.69</v>
      </c>
      <c r="V531" s="1116">
        <v>0</v>
      </c>
      <c r="W531" s="1116">
        <v>0</v>
      </c>
      <c r="X531" s="1116">
        <v>0</v>
      </c>
      <c r="Y531" s="1116">
        <v>0</v>
      </c>
      <c r="AA531" s="1116">
        <v>166.91000000000003</v>
      </c>
    </row>
    <row r="532" spans="2:27">
      <c r="B532" s="1116" t="s">
        <v>121</v>
      </c>
    </row>
    <row r="533" spans="2:27">
      <c r="B533" s="1116" t="s">
        <v>1823</v>
      </c>
      <c r="G533" s="1116">
        <v>64</v>
      </c>
      <c r="H533" s="1116">
        <v>2.2999999999999998</v>
      </c>
      <c r="S533" s="1116">
        <v>17.329999999999998</v>
      </c>
      <c r="T533" s="1116">
        <v>11.68</v>
      </c>
      <c r="AA533" s="1116">
        <v>95.31</v>
      </c>
    </row>
    <row r="534" spans="2:27">
      <c r="B534" s="1116" t="s">
        <v>1824</v>
      </c>
      <c r="AA534" s="1116">
        <v>0</v>
      </c>
    </row>
    <row r="535" spans="2:27">
      <c r="B535" s="1116" t="s">
        <v>1825</v>
      </c>
      <c r="E535" s="1116">
        <v>0.94</v>
      </c>
      <c r="F535" s="1116">
        <v>0</v>
      </c>
      <c r="K535" s="1116">
        <v>12.55</v>
      </c>
      <c r="L535" s="1116">
        <v>4.34</v>
      </c>
      <c r="O535" s="1116">
        <v>124.27</v>
      </c>
      <c r="P535" s="1116">
        <v>1.21</v>
      </c>
      <c r="Q535" s="1116">
        <v>0</v>
      </c>
      <c r="R535" s="1116">
        <v>0</v>
      </c>
      <c r="U535" s="1116">
        <v>0.02</v>
      </c>
      <c r="AA535" s="1116">
        <v>143.33000000000001</v>
      </c>
    </row>
    <row r="536" spans="2:27">
      <c r="B536" s="1116" t="s">
        <v>1826</v>
      </c>
      <c r="E536" s="1116">
        <v>3.3</v>
      </c>
      <c r="F536" s="1116">
        <v>0</v>
      </c>
      <c r="K536" s="1116">
        <v>27.9</v>
      </c>
      <c r="L536" s="1116">
        <v>12.23</v>
      </c>
      <c r="Q536" s="1116">
        <v>0</v>
      </c>
      <c r="R536" s="1116">
        <v>0.03</v>
      </c>
      <c r="U536" s="1116">
        <v>1.1000000000000001</v>
      </c>
      <c r="V536" s="1116">
        <v>0</v>
      </c>
      <c r="AA536" s="1116">
        <v>44.56</v>
      </c>
    </row>
    <row r="537" spans="2:27">
      <c r="B537" s="1116" t="s">
        <v>1827</v>
      </c>
      <c r="C537" s="1116">
        <v>30</v>
      </c>
      <c r="E537" s="1116">
        <v>50.980000000000004</v>
      </c>
      <c r="F537" s="1116">
        <v>5.48</v>
      </c>
      <c r="K537" s="1116">
        <v>33.11</v>
      </c>
      <c r="L537" s="1116">
        <v>23.71</v>
      </c>
      <c r="Q537" s="1116">
        <v>0</v>
      </c>
      <c r="R537" s="1116">
        <v>0</v>
      </c>
      <c r="U537" s="1116">
        <v>0.98</v>
      </c>
      <c r="V537" s="1116">
        <v>0</v>
      </c>
      <c r="AA537" s="1116">
        <v>144.26</v>
      </c>
    </row>
    <row r="538" spans="2:27">
      <c r="B538" s="1116" t="s">
        <v>1828</v>
      </c>
      <c r="C538" s="1116">
        <v>30</v>
      </c>
      <c r="D538" s="1116">
        <v>0</v>
      </c>
      <c r="E538" s="1116">
        <v>55.220000000000006</v>
      </c>
      <c r="F538" s="1116">
        <v>5.48</v>
      </c>
      <c r="G538" s="1116">
        <v>64</v>
      </c>
      <c r="H538" s="1116">
        <v>2.2999999999999998</v>
      </c>
      <c r="I538" s="1116">
        <v>0</v>
      </c>
      <c r="J538" s="1116">
        <v>0</v>
      </c>
      <c r="K538" s="1116">
        <v>73.56</v>
      </c>
      <c r="L538" s="1116">
        <v>40.28</v>
      </c>
      <c r="O538" s="1116">
        <v>124.27</v>
      </c>
      <c r="P538" s="1116">
        <v>1.21</v>
      </c>
      <c r="Q538" s="1116">
        <v>0</v>
      </c>
      <c r="R538" s="1116">
        <v>0.03</v>
      </c>
      <c r="S538" s="1116">
        <v>17.329999999999998</v>
      </c>
      <c r="T538" s="1116">
        <v>11.68</v>
      </c>
      <c r="U538" s="1116">
        <v>2.1</v>
      </c>
      <c r="V538" s="1116">
        <v>0</v>
      </c>
      <c r="W538" s="1116">
        <v>0</v>
      </c>
      <c r="X538" s="1116">
        <v>0</v>
      </c>
      <c r="Y538" s="1116">
        <v>0</v>
      </c>
      <c r="AA538" s="1116">
        <v>427.46</v>
      </c>
    </row>
    <row r="539" spans="2:27">
      <c r="B539" s="1116" t="s">
        <v>1829</v>
      </c>
    </row>
    <row r="540" spans="2:27">
      <c r="B540" s="1116" t="s">
        <v>1830</v>
      </c>
      <c r="K540" s="1116">
        <v>25.72</v>
      </c>
      <c r="L540" s="1116">
        <v>0</v>
      </c>
      <c r="AA540" s="1116">
        <v>25.72</v>
      </c>
    </row>
    <row r="541" spans="2:27">
      <c r="B541" s="1116" t="s">
        <v>123</v>
      </c>
    </row>
    <row r="542" spans="2:27">
      <c r="B542" s="1116" t="s">
        <v>1831</v>
      </c>
      <c r="C542" s="1116">
        <v>792</v>
      </c>
      <c r="E542" s="1116">
        <v>141.46</v>
      </c>
      <c r="F542" s="1116">
        <v>0.15</v>
      </c>
      <c r="G542" s="1116">
        <v>61.9</v>
      </c>
      <c r="H542" s="1116">
        <v>43</v>
      </c>
      <c r="I542" s="1116">
        <v>0</v>
      </c>
      <c r="J542" s="1116">
        <v>0</v>
      </c>
      <c r="K542" s="1116">
        <v>54.18</v>
      </c>
      <c r="L542" s="1116">
        <v>386</v>
      </c>
      <c r="Q542" s="1116">
        <v>0</v>
      </c>
      <c r="R542" s="1116">
        <v>0</v>
      </c>
      <c r="U542" s="1116">
        <v>409.07</v>
      </c>
      <c r="V542" s="1116">
        <v>0</v>
      </c>
      <c r="AA542" s="1116">
        <v>1887.76</v>
      </c>
    </row>
    <row r="543" spans="2:27">
      <c r="B543" s="1116" t="s">
        <v>177</v>
      </c>
      <c r="AA543" s="1116">
        <v>0</v>
      </c>
    </row>
    <row r="544" spans="2:27">
      <c r="B544" s="1116" t="s">
        <v>175</v>
      </c>
      <c r="AA544" s="1116">
        <v>0</v>
      </c>
    </row>
    <row r="545" spans="2:27">
      <c r="B545" s="1116" t="s">
        <v>1832</v>
      </c>
      <c r="C545" s="1116">
        <v>792</v>
      </c>
      <c r="D545" s="1116">
        <v>0</v>
      </c>
      <c r="E545" s="1116">
        <v>141.46</v>
      </c>
      <c r="F545" s="1116">
        <v>0.15</v>
      </c>
      <c r="G545" s="1116">
        <v>61.9</v>
      </c>
      <c r="H545" s="1116">
        <v>43</v>
      </c>
      <c r="I545" s="1116">
        <v>0</v>
      </c>
      <c r="J545" s="1116">
        <v>0</v>
      </c>
      <c r="K545" s="1116">
        <v>54.18</v>
      </c>
      <c r="L545" s="1116">
        <v>386</v>
      </c>
      <c r="O545" s="1116">
        <v>0</v>
      </c>
      <c r="P545" s="1116">
        <v>0</v>
      </c>
      <c r="Q545" s="1116">
        <v>0</v>
      </c>
      <c r="R545" s="1116">
        <v>0</v>
      </c>
      <c r="S545" s="1116">
        <v>0</v>
      </c>
      <c r="T545" s="1116">
        <v>0</v>
      </c>
      <c r="U545" s="1116">
        <v>409.07</v>
      </c>
      <c r="V545" s="1116">
        <v>0</v>
      </c>
      <c r="W545" s="1116">
        <v>0</v>
      </c>
      <c r="X545" s="1116">
        <v>0</v>
      </c>
      <c r="Y545" s="1116">
        <v>0</v>
      </c>
      <c r="AA545" s="1116">
        <v>1887.76</v>
      </c>
    </row>
    <row r="546" spans="2:27">
      <c r="B546" s="1116" t="s">
        <v>115</v>
      </c>
      <c r="E546" s="1116" t="s">
        <v>426</v>
      </c>
      <c r="F546" s="1116" t="s">
        <v>426</v>
      </c>
    </row>
    <row r="547" spans="2:27">
      <c r="B547" s="1116" t="s">
        <v>1833</v>
      </c>
      <c r="F547" s="1116">
        <v>0.03</v>
      </c>
      <c r="G547" s="1116">
        <v>0</v>
      </c>
      <c r="K547" s="1116">
        <v>0.45</v>
      </c>
      <c r="L547" s="1116">
        <v>0.3</v>
      </c>
      <c r="Q547" s="1116">
        <v>4.4000000000000003E-3</v>
      </c>
      <c r="R547" s="1116">
        <v>0</v>
      </c>
      <c r="AA547" s="1116">
        <v>0.78439999999999999</v>
      </c>
    </row>
    <row r="548" spans="2:27">
      <c r="B548" s="1116" t="s">
        <v>1834</v>
      </c>
      <c r="C548" s="1116" t="s">
        <v>426</v>
      </c>
    </row>
    <row r="549" spans="2:27">
      <c r="B549" s="1116" t="s">
        <v>1835</v>
      </c>
      <c r="F549" s="1116">
        <v>0.02</v>
      </c>
      <c r="K549" s="1116">
        <v>0.16</v>
      </c>
      <c r="L549" s="1116">
        <v>0</v>
      </c>
      <c r="S549" s="1116">
        <v>65.66</v>
      </c>
      <c r="T549" s="1116">
        <v>8.68</v>
      </c>
      <c r="AA549" s="1116">
        <v>74.52000000000001</v>
      </c>
    </row>
    <row r="550" spans="2:27">
      <c r="B550" s="1116" t="s">
        <v>1829</v>
      </c>
    </row>
    <row r="551" spans="2:27">
      <c r="B551" s="1116" t="s">
        <v>1836</v>
      </c>
      <c r="S551" s="1116">
        <v>0.06</v>
      </c>
      <c r="AA551" s="1116">
        <v>0.06</v>
      </c>
    </row>
    <row r="552" spans="2:27">
      <c r="B552" s="1116" t="s">
        <v>1837</v>
      </c>
      <c r="AA552" s="1116">
        <v>0</v>
      </c>
    </row>
    <row r="553" spans="2:27">
      <c r="B553" s="1116" t="s">
        <v>1838</v>
      </c>
      <c r="AA553" s="1116">
        <v>0</v>
      </c>
    </row>
    <row r="554" spans="2:27">
      <c r="B554" s="1116" t="s">
        <v>1839</v>
      </c>
      <c r="AA554" s="1116">
        <v>0</v>
      </c>
    </row>
    <row r="555" spans="2:27">
      <c r="B555" s="1116" t="s">
        <v>1840</v>
      </c>
      <c r="C555" s="1116">
        <v>0</v>
      </c>
      <c r="D555" s="1116">
        <v>0</v>
      </c>
      <c r="E555" s="1116">
        <v>0</v>
      </c>
      <c r="F555" s="1116">
        <v>0</v>
      </c>
      <c r="G555" s="1116">
        <v>0</v>
      </c>
      <c r="H555" s="1116">
        <v>0</v>
      </c>
      <c r="I555" s="1116">
        <v>0</v>
      </c>
      <c r="J555" s="1116">
        <v>0</v>
      </c>
      <c r="K555" s="1116">
        <v>0</v>
      </c>
      <c r="L555" s="1116">
        <v>0</v>
      </c>
      <c r="O555" s="1116">
        <v>0</v>
      </c>
      <c r="P555" s="1116">
        <v>0</v>
      </c>
      <c r="Q555" s="1116">
        <v>0</v>
      </c>
      <c r="R555" s="1116">
        <v>0</v>
      </c>
      <c r="S555" s="1116">
        <v>0.06</v>
      </c>
      <c r="T555" s="1116">
        <v>0</v>
      </c>
      <c r="U555" s="1116">
        <v>0</v>
      </c>
      <c r="V555" s="1116">
        <v>0</v>
      </c>
      <c r="W555" s="1116">
        <v>0</v>
      </c>
      <c r="X555" s="1116">
        <v>0</v>
      </c>
      <c r="Y555" s="1116">
        <v>0</v>
      </c>
      <c r="AA555" s="1116">
        <v>0.06</v>
      </c>
    </row>
    <row r="556" spans="2:27">
      <c r="B556" s="1116" t="s">
        <v>1841</v>
      </c>
      <c r="C556" s="1116">
        <v>4232</v>
      </c>
      <c r="D556" s="1116">
        <v>0</v>
      </c>
      <c r="E556" s="1116">
        <v>1421.74</v>
      </c>
      <c r="F556" s="1116">
        <v>47.97</v>
      </c>
      <c r="G556" s="1116">
        <v>858.69999999999993</v>
      </c>
      <c r="H556" s="1116">
        <v>116.10000000000001</v>
      </c>
      <c r="I556" s="1116">
        <v>0.01</v>
      </c>
      <c r="J556" s="1116">
        <v>0</v>
      </c>
      <c r="K556" s="1116">
        <v>871.76</v>
      </c>
      <c r="L556" s="1116">
        <v>854.49999999999989</v>
      </c>
      <c r="M556" s="1116">
        <v>628.27</v>
      </c>
      <c r="N556" s="1116">
        <v>0.64</v>
      </c>
      <c r="O556" s="1116">
        <v>124.27</v>
      </c>
      <c r="P556" s="1116">
        <v>1.21</v>
      </c>
      <c r="Q556" s="1116">
        <v>382.39439999999996</v>
      </c>
      <c r="R556" s="1116">
        <v>108.23</v>
      </c>
      <c r="S556" s="1116">
        <v>83.05</v>
      </c>
      <c r="T556" s="1116">
        <v>20.869999999999997</v>
      </c>
      <c r="U556" s="1116">
        <v>942.5</v>
      </c>
      <c r="V556" s="1116">
        <v>184.40999999999997</v>
      </c>
      <c r="W556" s="1116">
        <v>0</v>
      </c>
      <c r="X556" s="1116">
        <v>0</v>
      </c>
      <c r="Y556" s="1116">
        <v>0</v>
      </c>
      <c r="AA556" s="1116">
        <v>10878.624399999999</v>
      </c>
    </row>
    <row r="557" spans="2:27">
      <c r="B557" s="1116" t="s">
        <v>207</v>
      </c>
    </row>
    <row r="558" spans="2:27">
      <c r="B558" s="1116" t="s">
        <v>211</v>
      </c>
    </row>
    <row r="559" spans="2:27">
      <c r="B559" s="1116" t="s">
        <v>1842</v>
      </c>
      <c r="K559" s="1116">
        <v>4.58</v>
      </c>
      <c r="L559" s="1116">
        <v>0.94</v>
      </c>
      <c r="AA559" s="1116">
        <v>5.52</v>
      </c>
    </row>
    <row r="560" spans="2:27">
      <c r="B560" s="1116" t="s">
        <v>1217</v>
      </c>
      <c r="AA560" s="1116">
        <v>0</v>
      </c>
    </row>
    <row r="561" spans="2:27">
      <c r="B561" s="1116" t="s">
        <v>1843</v>
      </c>
      <c r="AA561" s="1116">
        <v>0</v>
      </c>
    </row>
    <row r="562" spans="2:27">
      <c r="B562" s="1116" t="s">
        <v>1844</v>
      </c>
      <c r="AA562" s="1116">
        <v>0</v>
      </c>
    </row>
    <row r="563" spans="2:27">
      <c r="B563" s="1116" t="s">
        <v>210</v>
      </c>
      <c r="AA563" s="1116">
        <v>0</v>
      </c>
    </row>
    <row r="564" spans="2:27">
      <c r="B564" s="1116" t="s">
        <v>1845</v>
      </c>
      <c r="C564" s="1116">
        <v>367</v>
      </c>
      <c r="G564" s="1116">
        <v>85</v>
      </c>
      <c r="K564" s="1116">
        <v>85.65</v>
      </c>
      <c r="L564" s="1116">
        <v>6.26</v>
      </c>
      <c r="AA564" s="1116">
        <v>543.91</v>
      </c>
    </row>
    <row r="565" spans="2:27">
      <c r="B565" s="1116" t="s">
        <v>1846</v>
      </c>
      <c r="E565" s="1116">
        <v>0.69</v>
      </c>
      <c r="F565" s="1116">
        <v>0.01</v>
      </c>
      <c r="R565" s="1116">
        <v>3.7000000000000002E-3</v>
      </c>
      <c r="W565" s="1116">
        <v>245.92</v>
      </c>
      <c r="X565" s="1116">
        <v>0</v>
      </c>
      <c r="AA565" s="1116">
        <v>246.62369999999999</v>
      </c>
    </row>
    <row r="566" spans="2:27">
      <c r="B566" s="1116" t="s">
        <v>1847</v>
      </c>
      <c r="C566" s="1116">
        <v>367</v>
      </c>
      <c r="D566" s="1116">
        <v>0</v>
      </c>
      <c r="E566" s="1116">
        <v>0.69</v>
      </c>
      <c r="F566" s="1116">
        <v>0.01</v>
      </c>
      <c r="G566" s="1116">
        <v>85</v>
      </c>
      <c r="H566" s="1116">
        <v>0</v>
      </c>
      <c r="I566" s="1116">
        <v>0</v>
      </c>
      <c r="J566" s="1116">
        <v>0</v>
      </c>
      <c r="K566" s="1116">
        <v>85.65</v>
      </c>
      <c r="L566" s="1116">
        <v>6.26</v>
      </c>
      <c r="M566" s="1116">
        <v>0</v>
      </c>
      <c r="N566" s="1116">
        <v>0</v>
      </c>
      <c r="O566" s="1116">
        <v>0</v>
      </c>
      <c r="P566" s="1116">
        <v>0</v>
      </c>
      <c r="Q566" s="1116">
        <v>0</v>
      </c>
      <c r="R566" s="1116">
        <v>3.7000000000000002E-3</v>
      </c>
      <c r="S566" s="1116">
        <v>0</v>
      </c>
      <c r="T566" s="1116">
        <v>0</v>
      </c>
      <c r="U566" s="1116">
        <v>0</v>
      </c>
      <c r="V566" s="1116">
        <v>0</v>
      </c>
      <c r="W566" s="1116">
        <v>245.92</v>
      </c>
      <c r="X566" s="1116">
        <v>0</v>
      </c>
      <c r="Y566" s="1116">
        <v>0</v>
      </c>
      <c r="AA566" s="1116">
        <v>790.53369999999995</v>
      </c>
    </row>
    <row r="567" spans="2:27">
      <c r="B567" s="1116" t="s">
        <v>213</v>
      </c>
    </row>
    <row r="568" spans="2:27">
      <c r="B568" s="1116" t="s">
        <v>1848</v>
      </c>
      <c r="E568" s="1116">
        <v>0.17</v>
      </c>
      <c r="F568" s="1116">
        <v>0.03</v>
      </c>
      <c r="K568" s="1116">
        <v>-0.09</v>
      </c>
      <c r="L568" s="1116">
        <v>0</v>
      </c>
      <c r="AA568" s="1116">
        <v>0.11000000000000001</v>
      </c>
    </row>
    <row r="569" spans="2:27">
      <c r="B569" s="1116" t="s">
        <v>1849</v>
      </c>
      <c r="C569" s="1116">
        <v>0</v>
      </c>
      <c r="D569" s="1116">
        <v>0</v>
      </c>
      <c r="E569" s="1116">
        <v>0.17</v>
      </c>
      <c r="F569" s="1116">
        <v>0.03</v>
      </c>
      <c r="G569" s="1116">
        <v>0</v>
      </c>
      <c r="I569" s="1116">
        <v>0</v>
      </c>
      <c r="K569" s="1116">
        <v>-0.09</v>
      </c>
      <c r="L569" s="1116">
        <v>0</v>
      </c>
      <c r="Y569" s="1116">
        <v>0</v>
      </c>
      <c r="AA569" s="1116">
        <v>0.11000000000000001</v>
      </c>
    </row>
    <row r="570" spans="2:27">
      <c r="B570" s="1116" t="s">
        <v>220</v>
      </c>
    </row>
    <row r="571" spans="2:27">
      <c r="B571" s="1116" t="s">
        <v>1850</v>
      </c>
      <c r="G571" s="1116">
        <v>0.3</v>
      </c>
      <c r="K571" s="1116">
        <v>0.38</v>
      </c>
      <c r="L571" s="1116">
        <v>71.569999999999993</v>
      </c>
      <c r="Q571" s="1116">
        <v>3.99</v>
      </c>
      <c r="R571" s="1116">
        <v>17.09</v>
      </c>
      <c r="AA571" s="1116">
        <v>93.33</v>
      </c>
    </row>
    <row r="572" spans="2:27">
      <c r="B572" s="1116" t="s">
        <v>1851</v>
      </c>
      <c r="AA572" s="1116">
        <v>0</v>
      </c>
    </row>
    <row r="573" spans="2:27">
      <c r="B573" s="1116" t="s">
        <v>1852</v>
      </c>
      <c r="G573" s="1116">
        <v>0.7</v>
      </c>
      <c r="K573" s="1116">
        <v>0.01</v>
      </c>
      <c r="L573" s="1116">
        <v>0.11</v>
      </c>
      <c r="AA573" s="1116">
        <v>0.82</v>
      </c>
    </row>
    <row r="574" spans="2:27">
      <c r="B574" s="1116" t="s">
        <v>1853</v>
      </c>
      <c r="AA574" s="1116">
        <v>0</v>
      </c>
    </row>
    <row r="575" spans="2:27">
      <c r="B575" s="1116" t="s">
        <v>1852</v>
      </c>
      <c r="AA575" s="1116">
        <v>0</v>
      </c>
    </row>
    <row r="576" spans="2:27">
      <c r="B576" s="1116" t="s">
        <v>1084</v>
      </c>
      <c r="AA576" s="1116">
        <v>0</v>
      </c>
    </row>
    <row r="577" spans="2:27">
      <c r="B577" s="1116" t="s">
        <v>1085</v>
      </c>
      <c r="K577" s="1116">
        <v>3.26</v>
      </c>
      <c r="L577" s="1116">
        <v>0.04</v>
      </c>
      <c r="AA577" s="1116">
        <v>3.3</v>
      </c>
    </row>
    <row r="578" spans="2:27">
      <c r="B578" s="1116" t="s">
        <v>1854</v>
      </c>
      <c r="C578" s="1116">
        <v>367</v>
      </c>
      <c r="D578" s="1116">
        <v>0</v>
      </c>
      <c r="E578" s="1116">
        <v>0.86</v>
      </c>
      <c r="F578" s="1116">
        <v>0.04</v>
      </c>
      <c r="G578" s="1116">
        <v>86</v>
      </c>
      <c r="H578" s="1116">
        <v>0</v>
      </c>
      <c r="I578" s="1116">
        <v>0</v>
      </c>
      <c r="J578" s="1116">
        <v>0</v>
      </c>
      <c r="K578" s="1116">
        <v>93.79</v>
      </c>
      <c r="L578" s="1116">
        <v>78.92</v>
      </c>
      <c r="M578" s="1116">
        <v>0</v>
      </c>
      <c r="N578" s="1116">
        <v>0</v>
      </c>
      <c r="O578" s="1116">
        <v>0</v>
      </c>
      <c r="P578" s="1116">
        <v>0</v>
      </c>
      <c r="Q578" s="1116">
        <v>3.99</v>
      </c>
      <c r="R578" s="1116">
        <v>17.093699999999998</v>
      </c>
      <c r="S578" s="1116">
        <v>0</v>
      </c>
      <c r="T578" s="1116">
        <v>0</v>
      </c>
      <c r="U578" s="1116">
        <v>0</v>
      </c>
      <c r="V578" s="1116">
        <v>0</v>
      </c>
      <c r="W578" s="1116">
        <v>245.92</v>
      </c>
      <c r="X578" s="1116">
        <v>0</v>
      </c>
      <c r="Y578" s="1116">
        <v>0</v>
      </c>
      <c r="AA578" s="1116">
        <v>893.61369999999999</v>
      </c>
    </row>
    <row r="579" spans="2:27">
      <c r="B579" s="1116" t="s">
        <v>259</v>
      </c>
    </row>
    <row r="580" spans="2:27">
      <c r="B580" s="1116" t="s">
        <v>266</v>
      </c>
    </row>
    <row r="581" spans="2:27">
      <c r="B581" s="1116" t="s">
        <v>1855</v>
      </c>
      <c r="C581" s="1116">
        <v>409</v>
      </c>
      <c r="G581" s="1116">
        <v>49.3</v>
      </c>
      <c r="H581" s="1116">
        <v>0</v>
      </c>
      <c r="K581" s="1116">
        <v>10.02</v>
      </c>
      <c r="L581" s="1116">
        <v>56.47</v>
      </c>
      <c r="O581" s="1116">
        <v>214.5</v>
      </c>
      <c r="P581" s="1116">
        <v>1.29</v>
      </c>
      <c r="Y581" s="1116">
        <v>68.41</v>
      </c>
      <c r="Z581" s="1116">
        <v>0</v>
      </c>
      <c r="AA581" s="1116">
        <v>808.9899999999999</v>
      </c>
    </row>
    <row r="582" spans="2:27">
      <c r="B582" s="1116" t="s">
        <v>1856</v>
      </c>
      <c r="C582" s="1116">
        <v>409</v>
      </c>
      <c r="G582" s="1116">
        <v>49.3</v>
      </c>
      <c r="K582" s="1116">
        <v>10.02</v>
      </c>
      <c r="L582" s="1116">
        <v>56.47</v>
      </c>
      <c r="O582" s="1116">
        <v>214.5</v>
      </c>
      <c r="P582" s="1116">
        <v>1.29</v>
      </c>
      <c r="Y582" s="1116">
        <v>68.41</v>
      </c>
      <c r="Z582" s="1116">
        <v>0</v>
      </c>
      <c r="AA582" s="1116">
        <v>808.9899999999999</v>
      </c>
    </row>
    <row r="583" spans="2:27">
      <c r="B583" s="1116" t="s">
        <v>268</v>
      </c>
      <c r="AA583" s="1116">
        <v>0</v>
      </c>
    </row>
    <row r="584" spans="2:27">
      <c r="B584" s="1116" t="s">
        <v>1857</v>
      </c>
      <c r="C584" s="1116">
        <v>301</v>
      </c>
      <c r="G584" s="1116">
        <v>109.9</v>
      </c>
      <c r="H584" s="1116">
        <v>0.2</v>
      </c>
      <c r="K584" s="1116">
        <v>17.05</v>
      </c>
      <c r="L584" s="1116">
        <v>2.83</v>
      </c>
      <c r="M584" s="1116">
        <v>70.63</v>
      </c>
      <c r="N584" s="1116">
        <v>13.58</v>
      </c>
      <c r="O584" s="1116">
        <v>276.42</v>
      </c>
      <c r="P584" s="1116">
        <v>0.35</v>
      </c>
      <c r="Y584" s="1116">
        <v>35.44</v>
      </c>
      <c r="Z584" s="1116">
        <v>0.2</v>
      </c>
      <c r="AA584" s="1116">
        <v>827.59999999999991</v>
      </c>
    </row>
    <row r="585" spans="2:27">
      <c r="B585" s="1116" t="s">
        <v>1858</v>
      </c>
      <c r="K585" s="1116">
        <v>0</v>
      </c>
      <c r="O585" s="1116">
        <v>27.89</v>
      </c>
      <c r="P585" s="1116">
        <v>0</v>
      </c>
      <c r="AA585" s="1116">
        <v>27.89</v>
      </c>
    </row>
    <row r="586" spans="2:27">
      <c r="B586" s="1116" t="s">
        <v>1859</v>
      </c>
      <c r="C586" s="1116">
        <v>234</v>
      </c>
      <c r="K586" s="1116">
        <v>56.32</v>
      </c>
      <c r="L586" s="1116">
        <v>32.6</v>
      </c>
      <c r="M586" s="1116">
        <v>56.87</v>
      </c>
      <c r="N586" s="1116">
        <v>8.1199999999999992</v>
      </c>
      <c r="O586" s="1116">
        <v>60.82</v>
      </c>
      <c r="P586" s="1116">
        <v>0.3</v>
      </c>
      <c r="Y586" s="1116">
        <v>19.05</v>
      </c>
      <c r="Z586" s="1116">
        <v>0</v>
      </c>
      <c r="AA586" s="1116">
        <v>468.08000000000004</v>
      </c>
    </row>
    <row r="587" spans="2:27">
      <c r="B587" s="1116" t="s">
        <v>1860</v>
      </c>
      <c r="C587" s="1116">
        <v>658</v>
      </c>
      <c r="K587" s="1116">
        <v>188.82</v>
      </c>
      <c r="L587" s="1116">
        <v>220.05</v>
      </c>
      <c r="M587" s="1116">
        <v>23.28</v>
      </c>
      <c r="N587" s="1116">
        <v>8.6999999999999993</v>
      </c>
      <c r="O587" s="1116">
        <v>162.38</v>
      </c>
      <c r="P587" s="1116">
        <v>0.86</v>
      </c>
      <c r="Y587" s="1116">
        <v>29.34</v>
      </c>
      <c r="Z587" s="1116">
        <v>0.33</v>
      </c>
      <c r="AA587" s="1116">
        <v>1291.7599999999998</v>
      </c>
    </row>
    <row r="588" spans="2:27">
      <c r="B588" s="1116" t="s">
        <v>1861</v>
      </c>
      <c r="C588" s="1116">
        <v>186</v>
      </c>
      <c r="K588" s="1116">
        <v>90.98</v>
      </c>
      <c r="L588" s="1116">
        <v>43.22</v>
      </c>
      <c r="M588" s="1116">
        <v>13.8</v>
      </c>
      <c r="N588" s="1116">
        <v>2.98</v>
      </c>
      <c r="O588" s="1116">
        <v>109.38</v>
      </c>
      <c r="P588" s="1116">
        <v>0.6</v>
      </c>
      <c r="Y588" s="1116">
        <v>32.090000000000003</v>
      </c>
      <c r="Z588" s="1116">
        <v>0.78</v>
      </c>
      <c r="AA588" s="1116">
        <v>479.83000000000004</v>
      </c>
    </row>
    <row r="589" spans="2:27">
      <c r="B589" s="1116" t="s">
        <v>1862</v>
      </c>
      <c r="AA589" s="1116">
        <v>0</v>
      </c>
    </row>
    <row r="590" spans="2:27">
      <c r="B590" s="1116" t="s">
        <v>1863</v>
      </c>
      <c r="C590" s="1116">
        <v>1379</v>
      </c>
      <c r="F590" s="1116">
        <v>0</v>
      </c>
      <c r="G590" s="1116">
        <v>109.9</v>
      </c>
      <c r="H590" s="1116">
        <v>0.2</v>
      </c>
      <c r="K590" s="1116">
        <v>353.17</v>
      </c>
      <c r="L590" s="1116">
        <v>298.70000000000005</v>
      </c>
      <c r="M590" s="1116">
        <v>164.58</v>
      </c>
      <c r="N590" s="1116">
        <v>33.379999999999995</v>
      </c>
      <c r="O590" s="1116">
        <v>636.89</v>
      </c>
      <c r="P590" s="1116">
        <v>2.11</v>
      </c>
      <c r="Y590" s="1116">
        <v>115.92</v>
      </c>
      <c r="Z590" s="1116">
        <v>1.31</v>
      </c>
      <c r="AA590" s="1116">
        <v>3095.1600000000003</v>
      </c>
    </row>
    <row r="591" spans="2:27">
      <c r="B591" s="1116" t="s">
        <v>1864</v>
      </c>
    </row>
    <row r="592" spans="2:27">
      <c r="B592" s="1116" t="s">
        <v>1865</v>
      </c>
      <c r="C592" s="1116">
        <v>240</v>
      </c>
      <c r="G592" s="1116">
        <v>43</v>
      </c>
      <c r="H592" s="1116">
        <v>1.4</v>
      </c>
      <c r="K592" s="1116">
        <v>105.1</v>
      </c>
      <c r="L592" s="1116">
        <v>64.61</v>
      </c>
      <c r="O592" s="1116">
        <v>309.58</v>
      </c>
      <c r="P592" s="1116">
        <v>2.4</v>
      </c>
      <c r="Y592" s="1116">
        <v>401.82</v>
      </c>
      <c r="Z592" s="1116">
        <v>0</v>
      </c>
      <c r="AA592" s="1116">
        <v>1167.9100000000001</v>
      </c>
    </row>
    <row r="593" spans="2:27">
      <c r="B593" s="1116" t="s">
        <v>507</v>
      </c>
    </row>
    <row r="594" spans="2:27">
      <c r="B594" s="1116" t="s">
        <v>1866</v>
      </c>
      <c r="G594" s="1116">
        <v>0</v>
      </c>
      <c r="K594" s="1116">
        <v>15.99</v>
      </c>
      <c r="L594" s="1116">
        <v>3.65</v>
      </c>
      <c r="O594" s="1116">
        <v>201.66</v>
      </c>
      <c r="P594" s="1116">
        <v>0</v>
      </c>
      <c r="Y594" s="1116">
        <v>0</v>
      </c>
      <c r="AA594" s="1116">
        <v>221.3</v>
      </c>
    </row>
    <row r="595" spans="2:27">
      <c r="B595" s="1116" t="s">
        <v>1867</v>
      </c>
      <c r="AA595" s="1116">
        <v>0</v>
      </c>
    </row>
    <row r="596" spans="2:27">
      <c r="B596" s="1116" t="s">
        <v>1868</v>
      </c>
      <c r="C596" s="1116">
        <v>185</v>
      </c>
      <c r="E596" s="1116">
        <v>18.23</v>
      </c>
      <c r="F596" s="1116">
        <v>6.23</v>
      </c>
      <c r="G596" s="1116">
        <v>365.2</v>
      </c>
      <c r="H596" s="1116">
        <v>0</v>
      </c>
      <c r="K596" s="1116">
        <v>1211.79</v>
      </c>
      <c r="L596" s="1116">
        <v>728.58</v>
      </c>
      <c r="O596" s="1116">
        <v>3296.92</v>
      </c>
      <c r="P596" s="1116">
        <v>18.97</v>
      </c>
      <c r="Y596" s="1116">
        <v>584.76</v>
      </c>
      <c r="Z596" s="1116">
        <v>7.49</v>
      </c>
      <c r="AA596" s="1116">
        <v>6423.17</v>
      </c>
    </row>
    <row r="597" spans="2:27">
      <c r="B597" s="1116" t="s">
        <v>509</v>
      </c>
      <c r="AA597" s="1116">
        <v>0</v>
      </c>
    </row>
    <row r="598" spans="2:27">
      <c r="B598" s="1116" t="s">
        <v>1869</v>
      </c>
      <c r="C598" s="1116">
        <v>53</v>
      </c>
      <c r="G598" s="1116">
        <v>9.5</v>
      </c>
      <c r="K598" s="1116">
        <v>19.309999999999999</v>
      </c>
      <c r="L598" s="1116">
        <v>18.100000000000001</v>
      </c>
      <c r="O598" s="1116">
        <v>210.62</v>
      </c>
      <c r="P598" s="1116">
        <v>2.21</v>
      </c>
      <c r="Y598" s="1116">
        <v>13.49</v>
      </c>
      <c r="Z598" s="1116">
        <v>0.41</v>
      </c>
      <c r="AA598" s="1116">
        <v>326.64</v>
      </c>
    </row>
    <row r="599" spans="2:27">
      <c r="B599" s="1116" t="s">
        <v>647</v>
      </c>
      <c r="AA599" s="1116">
        <v>0</v>
      </c>
    </row>
    <row r="600" spans="2:27">
      <c r="B600" s="1116" t="s">
        <v>1087</v>
      </c>
      <c r="K600" s="1116">
        <v>32.799999999999997</v>
      </c>
      <c r="L600" s="1116">
        <v>7.7</v>
      </c>
      <c r="AA600" s="1116">
        <v>40.5</v>
      </c>
    </row>
    <row r="601" spans="2:27">
      <c r="B601" s="1116" t="s">
        <v>1088</v>
      </c>
      <c r="K601" s="1116">
        <v>0.09</v>
      </c>
      <c r="L601" s="1116">
        <v>0</v>
      </c>
      <c r="AA601" s="1116">
        <v>0.09</v>
      </c>
    </row>
    <row r="602" spans="2:27">
      <c r="B602" s="1116" t="s">
        <v>1870</v>
      </c>
      <c r="C602" s="1116">
        <v>2266</v>
      </c>
      <c r="D602" s="1116">
        <v>0</v>
      </c>
      <c r="E602" s="1116">
        <v>18.23</v>
      </c>
      <c r="F602" s="1116">
        <v>6.23</v>
      </c>
      <c r="G602" s="1116">
        <v>576.9</v>
      </c>
      <c r="H602" s="1116">
        <v>1.5999999999999999</v>
      </c>
      <c r="I602" s="1116">
        <v>0</v>
      </c>
      <c r="J602" s="1116">
        <v>0</v>
      </c>
      <c r="K602" s="1116">
        <v>1748.1799999999998</v>
      </c>
      <c r="L602" s="1116">
        <v>1177.81</v>
      </c>
      <c r="M602" s="1116">
        <v>164.58</v>
      </c>
      <c r="N602" s="1116">
        <v>33.379999999999995</v>
      </c>
      <c r="O602" s="1116">
        <v>4870.17</v>
      </c>
      <c r="P602" s="1116">
        <v>26.979999999999997</v>
      </c>
      <c r="Q602" s="1116">
        <v>0</v>
      </c>
      <c r="R602" s="1116">
        <v>0</v>
      </c>
      <c r="S602" s="1116">
        <v>0</v>
      </c>
      <c r="T602" s="1116">
        <v>0</v>
      </c>
      <c r="U602" s="1116">
        <v>0</v>
      </c>
      <c r="V602" s="1116">
        <v>0</v>
      </c>
      <c r="W602" s="1116">
        <v>0</v>
      </c>
      <c r="X602" s="1116">
        <v>0</v>
      </c>
      <c r="Y602" s="1116">
        <v>1184.3999999999999</v>
      </c>
      <c r="Z602" s="1116">
        <v>9.2100000000000009</v>
      </c>
      <c r="AA602" s="1116">
        <v>12083.669999999996</v>
      </c>
    </row>
    <row r="603" spans="2:27">
      <c r="B603" s="1116" t="s">
        <v>330</v>
      </c>
      <c r="AA603" s="1116">
        <v>0</v>
      </c>
    </row>
    <row r="604" spans="2:27">
      <c r="B604" s="1116" t="s">
        <v>9</v>
      </c>
      <c r="AA604" s="1116">
        <v>0</v>
      </c>
    </row>
    <row r="605" spans="2:27">
      <c r="B605" s="1116" t="s">
        <v>2001</v>
      </c>
      <c r="AA605" s="1116">
        <v>0</v>
      </c>
    </row>
    <row r="606" spans="2:27">
      <c r="B606" s="1116" t="s">
        <v>1871</v>
      </c>
      <c r="C606" s="1116">
        <v>0</v>
      </c>
      <c r="E606" s="1116">
        <v>0</v>
      </c>
      <c r="F606" s="1116">
        <v>0</v>
      </c>
      <c r="G606" s="1116">
        <v>77.400000000000006</v>
      </c>
      <c r="M606" s="1116">
        <v>11.53</v>
      </c>
      <c r="N606" s="1116">
        <v>0</v>
      </c>
      <c r="AA606" s="1116">
        <v>88.93</v>
      </c>
    </row>
    <row r="607" spans="2:27">
      <c r="B607" s="1116" t="s">
        <v>335</v>
      </c>
      <c r="AA607" s="1116">
        <v>0</v>
      </c>
    </row>
    <row r="608" spans="2:27">
      <c r="B608" s="1116" t="s">
        <v>1852</v>
      </c>
      <c r="C608" s="1116">
        <v>94</v>
      </c>
      <c r="E608" s="1116">
        <v>6.33</v>
      </c>
      <c r="F608" s="1116">
        <v>0.08</v>
      </c>
      <c r="G608" s="1116">
        <v>10.1</v>
      </c>
      <c r="H608" s="1116">
        <v>0.2</v>
      </c>
      <c r="AA608" s="1116">
        <v>110.71</v>
      </c>
    </row>
    <row r="609" spans="2:27">
      <c r="B609" s="1116" t="s">
        <v>332</v>
      </c>
      <c r="AA609" s="1116">
        <v>0</v>
      </c>
    </row>
    <row r="610" spans="2:27">
      <c r="B610" s="1116" t="s">
        <v>1872</v>
      </c>
      <c r="C610" s="1116">
        <v>0</v>
      </c>
      <c r="E610" s="1116">
        <v>495.06</v>
      </c>
      <c r="F610" s="1116">
        <v>0</v>
      </c>
      <c r="M610" s="1116">
        <v>49.9</v>
      </c>
      <c r="N610" s="1116">
        <v>0</v>
      </c>
      <c r="AA610" s="1116">
        <v>544.96</v>
      </c>
    </row>
    <row r="611" spans="2:27">
      <c r="B611" s="1116" t="s">
        <v>331</v>
      </c>
    </row>
    <row r="612" spans="2:27">
      <c r="B612" s="1116" t="s">
        <v>1873</v>
      </c>
      <c r="C612" s="1116">
        <v>201</v>
      </c>
      <c r="E612" s="1116">
        <v>9.26</v>
      </c>
      <c r="F612" s="1116">
        <v>0</v>
      </c>
      <c r="G612" s="1116">
        <v>34</v>
      </c>
      <c r="M612" s="1116">
        <v>4060.15</v>
      </c>
      <c r="N612" s="1116">
        <v>1083.4100000000001</v>
      </c>
      <c r="AA612" s="1116">
        <v>5387.82</v>
      </c>
    </row>
    <row r="613" spans="2:27">
      <c r="B613" s="1116" t="s">
        <v>345</v>
      </c>
      <c r="AA613" s="1116">
        <v>0</v>
      </c>
    </row>
    <row r="614" spans="2:27">
      <c r="B614" s="1116" t="s">
        <v>1874</v>
      </c>
      <c r="C614" s="1116">
        <v>0</v>
      </c>
      <c r="G614" s="1116">
        <v>0</v>
      </c>
      <c r="H614" s="1116">
        <v>19.8</v>
      </c>
      <c r="AA614" s="1116">
        <v>19.8</v>
      </c>
    </row>
    <row r="615" spans="2:27">
      <c r="B615" s="1116" t="s">
        <v>1829</v>
      </c>
      <c r="AA615" s="1116">
        <v>0</v>
      </c>
    </row>
    <row r="616" spans="2:27">
      <c r="B616" s="1116" t="s">
        <v>1188</v>
      </c>
      <c r="E616" s="1116">
        <v>5.39</v>
      </c>
      <c r="F616" s="1116">
        <v>0</v>
      </c>
      <c r="AA616" s="1116">
        <v>5.39</v>
      </c>
    </row>
    <row r="617" spans="2:27">
      <c r="B617" s="1116" t="s">
        <v>1189</v>
      </c>
      <c r="AA617" s="1116">
        <v>0</v>
      </c>
    </row>
    <row r="618" spans="2:27">
      <c r="B618" s="1116" t="s">
        <v>1840</v>
      </c>
      <c r="AA618" s="1116">
        <v>0</v>
      </c>
    </row>
    <row r="619" spans="2:27">
      <c r="B619" s="1116" t="s">
        <v>1875</v>
      </c>
      <c r="C619" s="1116">
        <v>295</v>
      </c>
      <c r="D619" s="1116">
        <v>0</v>
      </c>
      <c r="E619" s="1116">
        <v>516.04</v>
      </c>
      <c r="F619" s="1116">
        <v>0.08</v>
      </c>
      <c r="G619" s="1116">
        <v>121.5</v>
      </c>
      <c r="H619" s="1116">
        <v>20</v>
      </c>
      <c r="I619" s="1116">
        <v>0</v>
      </c>
      <c r="J619" s="1116">
        <v>0</v>
      </c>
      <c r="K619" s="1116">
        <v>0</v>
      </c>
      <c r="L619" s="1116">
        <v>0</v>
      </c>
      <c r="M619" s="1116">
        <v>4121.58</v>
      </c>
      <c r="N619" s="1116">
        <v>1083.4100000000001</v>
      </c>
      <c r="O619" s="1116">
        <v>0</v>
      </c>
      <c r="P619" s="1116">
        <v>0</v>
      </c>
      <c r="Q619" s="1116">
        <v>0</v>
      </c>
      <c r="R619" s="1116">
        <v>0</v>
      </c>
      <c r="S619" s="1116">
        <v>0</v>
      </c>
      <c r="T619" s="1116">
        <v>0</v>
      </c>
      <c r="U619" s="1116">
        <v>0</v>
      </c>
      <c r="V619" s="1116">
        <v>0</v>
      </c>
      <c r="W619" s="1116">
        <v>0</v>
      </c>
      <c r="X619" s="1116">
        <v>0</v>
      </c>
      <c r="Y619" s="1116">
        <v>0</v>
      </c>
      <c r="Z619" s="1116">
        <v>0</v>
      </c>
      <c r="AA619" s="1116">
        <v>6157.61</v>
      </c>
    </row>
    <row r="620" spans="2:27">
      <c r="B620" s="1116" t="s">
        <v>372</v>
      </c>
      <c r="AA620" s="1116">
        <v>0</v>
      </c>
    </row>
    <row r="621" spans="2:27">
      <c r="B621" s="1116" t="s">
        <v>1876</v>
      </c>
    </row>
    <row r="622" spans="2:27">
      <c r="B622" s="1116" t="s">
        <v>1877</v>
      </c>
      <c r="J622" s="1116">
        <v>0</v>
      </c>
      <c r="AA622" s="1116">
        <v>0</v>
      </c>
    </row>
    <row r="623" spans="2:27">
      <c r="B623" s="1116" t="s">
        <v>376</v>
      </c>
    </row>
    <row r="624" spans="2:27">
      <c r="B624" s="1116" t="s">
        <v>1878</v>
      </c>
      <c r="C624" s="1116">
        <v>110</v>
      </c>
      <c r="G624" s="1116">
        <v>30.2</v>
      </c>
      <c r="H624" s="1116">
        <v>0</v>
      </c>
      <c r="I624" s="1116">
        <v>51.91</v>
      </c>
      <c r="J624" s="1116">
        <v>0.14000000000000001</v>
      </c>
      <c r="AA624" s="1116">
        <v>192.24999999999997</v>
      </c>
    </row>
    <row r="625" spans="2:27">
      <c r="B625" s="1116" t="s">
        <v>374</v>
      </c>
      <c r="AA625" s="1116">
        <v>0</v>
      </c>
    </row>
    <row r="626" spans="2:27">
      <c r="B626" s="1116" t="s">
        <v>1852</v>
      </c>
      <c r="C626" s="1116">
        <v>24</v>
      </c>
      <c r="E626" s="1116">
        <v>21.14</v>
      </c>
      <c r="F626" s="1116">
        <v>0</v>
      </c>
      <c r="G626" s="1116">
        <v>10.4</v>
      </c>
      <c r="H626" s="1116">
        <v>0.7</v>
      </c>
      <c r="I626" s="1116">
        <v>20.329999999999998</v>
      </c>
      <c r="J626" s="1116">
        <v>0.24</v>
      </c>
      <c r="AA626" s="1116">
        <v>76.809999999999988</v>
      </c>
    </row>
    <row r="627" spans="2:27">
      <c r="B627" s="1116" t="s">
        <v>1879</v>
      </c>
      <c r="AA627" s="1116">
        <v>0</v>
      </c>
    </row>
    <row r="628" spans="2:27">
      <c r="B628" s="1116" t="s">
        <v>1880</v>
      </c>
      <c r="C628" s="1116">
        <v>418</v>
      </c>
      <c r="E628" s="1116">
        <v>0</v>
      </c>
      <c r="F628" s="1116">
        <v>15.51</v>
      </c>
      <c r="G628" s="1116">
        <v>15.6</v>
      </c>
      <c r="H628" s="1116">
        <v>2.7</v>
      </c>
      <c r="I628" s="1116">
        <v>149.03</v>
      </c>
      <c r="J628" s="1116">
        <v>216.87</v>
      </c>
      <c r="AA628" s="1116">
        <v>817.71</v>
      </c>
    </row>
    <row r="629" spans="2:27">
      <c r="B629" s="1116" t="s">
        <v>1881</v>
      </c>
      <c r="C629" s="1116" t="s">
        <v>426</v>
      </c>
      <c r="AA629" s="1116">
        <v>0</v>
      </c>
    </row>
    <row r="630" spans="2:27">
      <c r="B630" s="1116" t="s">
        <v>1852</v>
      </c>
      <c r="C630" s="1116">
        <v>9</v>
      </c>
      <c r="E630" s="1116">
        <v>0</v>
      </c>
      <c r="F630" s="1116">
        <v>0</v>
      </c>
      <c r="G630" s="1116">
        <v>4</v>
      </c>
      <c r="H630" s="1116">
        <v>0.1</v>
      </c>
      <c r="I630" s="1116">
        <v>10.58</v>
      </c>
      <c r="J630" s="1116">
        <v>0.12</v>
      </c>
      <c r="AA630" s="1116">
        <v>23.8</v>
      </c>
    </row>
    <row r="631" spans="2:27">
      <c r="B631" s="1116" t="s">
        <v>377</v>
      </c>
      <c r="AA631" s="1116">
        <v>0</v>
      </c>
    </row>
    <row r="632" spans="2:27">
      <c r="B632" s="1116" t="s">
        <v>1877</v>
      </c>
      <c r="C632" s="1116">
        <v>0</v>
      </c>
      <c r="G632" s="1116">
        <v>0</v>
      </c>
      <c r="I632" s="1116">
        <v>0</v>
      </c>
      <c r="J632" s="1116">
        <v>0</v>
      </c>
      <c r="AA632" s="1116">
        <v>0</v>
      </c>
    </row>
    <row r="633" spans="2:27">
      <c r="B633" s="1116" t="s">
        <v>375</v>
      </c>
      <c r="AA633" s="1116">
        <v>0</v>
      </c>
    </row>
    <row r="634" spans="2:27">
      <c r="B634" s="1116" t="s">
        <v>1882</v>
      </c>
      <c r="C634" s="1116">
        <v>13</v>
      </c>
      <c r="I634" s="1116">
        <v>142.04</v>
      </c>
      <c r="J634" s="1116">
        <v>0.1</v>
      </c>
      <c r="AA634" s="1116">
        <v>155.13999999999999</v>
      </c>
    </row>
    <row r="635" spans="2:27">
      <c r="B635" s="1116" t="s">
        <v>1883</v>
      </c>
      <c r="C635" s="1116">
        <v>574</v>
      </c>
      <c r="D635" s="1116">
        <v>0</v>
      </c>
      <c r="E635" s="1116">
        <v>21.14</v>
      </c>
      <c r="F635" s="1116">
        <v>15.51</v>
      </c>
      <c r="G635" s="1116">
        <v>60.2</v>
      </c>
      <c r="H635" s="1116">
        <v>3.5000000000000004</v>
      </c>
      <c r="I635" s="1116">
        <v>373.89</v>
      </c>
      <c r="J635" s="1116">
        <v>217.47</v>
      </c>
      <c r="K635" s="1116">
        <v>0</v>
      </c>
      <c r="L635" s="1116">
        <v>0</v>
      </c>
      <c r="M635" s="1116">
        <v>0</v>
      </c>
      <c r="N635" s="1116">
        <v>0</v>
      </c>
      <c r="O635" s="1116">
        <v>0</v>
      </c>
      <c r="P635" s="1116">
        <v>0</v>
      </c>
      <c r="Q635" s="1116">
        <v>0</v>
      </c>
      <c r="R635" s="1116">
        <v>0</v>
      </c>
      <c r="S635" s="1116">
        <v>0</v>
      </c>
      <c r="T635" s="1116">
        <v>0</v>
      </c>
      <c r="U635" s="1116">
        <v>0</v>
      </c>
      <c r="V635" s="1116">
        <v>0</v>
      </c>
      <c r="W635" s="1116">
        <v>0</v>
      </c>
      <c r="X635" s="1116">
        <v>0</v>
      </c>
      <c r="Y635" s="1116">
        <v>0</v>
      </c>
      <c r="AA635" s="1116">
        <v>1265.71</v>
      </c>
    </row>
    <row r="636" spans="2:27">
      <c r="B636" s="1116" t="s">
        <v>1089</v>
      </c>
    </row>
    <row r="637" spans="2:27">
      <c r="B637" s="1116" t="s">
        <v>1884</v>
      </c>
      <c r="C637" s="1116">
        <v>3</v>
      </c>
      <c r="O637" s="1116">
        <v>3.47</v>
      </c>
      <c r="AA637" s="1116">
        <v>6.4700000000000006</v>
      </c>
    </row>
    <row r="638" spans="2:27">
      <c r="B638" s="1116" t="s">
        <v>1777</v>
      </c>
      <c r="C638" s="1116">
        <v>0</v>
      </c>
    </row>
    <row r="639" spans="2:27">
      <c r="B639" s="1116" t="s">
        <v>1885</v>
      </c>
      <c r="I639" s="1116">
        <v>0.01</v>
      </c>
      <c r="J639" s="1116">
        <v>0</v>
      </c>
    </row>
    <row r="640" spans="2:27">
      <c r="B640" s="1116" t="s">
        <v>1886</v>
      </c>
      <c r="C640" s="1116">
        <v>7737</v>
      </c>
      <c r="D640" s="1116">
        <v>0</v>
      </c>
      <c r="E640" s="1116">
        <v>1978.01</v>
      </c>
      <c r="F640" s="1116">
        <v>69.83</v>
      </c>
      <c r="G640" s="1116">
        <v>1703.3</v>
      </c>
      <c r="H640" s="1116">
        <v>141.19999999999999</v>
      </c>
      <c r="I640" s="1116">
        <v>373.90999999999997</v>
      </c>
      <c r="J640" s="1116">
        <v>217.47</v>
      </c>
      <c r="K640" s="1116">
        <v>2713.7299999999996</v>
      </c>
      <c r="L640" s="1116">
        <v>2111.2299999999996</v>
      </c>
      <c r="M640" s="1116">
        <v>4914.43</v>
      </c>
      <c r="N640" s="1116">
        <v>1117.43</v>
      </c>
      <c r="O640" s="1116">
        <v>4997.9100000000008</v>
      </c>
      <c r="P640" s="1116">
        <v>28.189999999999998</v>
      </c>
      <c r="Q640" s="1116">
        <v>386.38439999999997</v>
      </c>
      <c r="R640" s="1116">
        <v>125.3237</v>
      </c>
      <c r="S640" s="1116">
        <v>83.05</v>
      </c>
      <c r="T640" s="1116">
        <v>20.869999999999997</v>
      </c>
      <c r="U640" s="1116">
        <v>942.5</v>
      </c>
      <c r="V640" s="1116">
        <v>184.40999999999997</v>
      </c>
      <c r="W640" s="1116">
        <v>245.92</v>
      </c>
      <c r="X640" s="1116">
        <v>0</v>
      </c>
      <c r="Y640" s="1116">
        <v>1184.3999999999999</v>
      </c>
      <c r="Z640" s="1116">
        <v>9.2100000000000009</v>
      </c>
      <c r="AA640" s="1116">
        <v>31285.708099999996</v>
      </c>
    </row>
    <row r="641" spans="2:2">
      <c r="B641" s="1116" t="s">
        <v>1887</v>
      </c>
    </row>
  </sheetData>
  <pageMargins left="0.7" right="0.7" top="0.75" bottom="0.75" header="0.3" footer="0.3"/>
  <pageSetup orientation="portrait" horizontalDpi="4294967293" verticalDpi="4294967293"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5" tint="-0.249977111117893"/>
  </sheetPr>
  <dimension ref="A1:I74"/>
  <sheetViews>
    <sheetView view="pageBreakPreview" topLeftCell="A46" zoomScale="115" zoomScaleNormal="100" zoomScaleSheetLayoutView="115" workbookViewId="0">
      <selection activeCell="E58" sqref="E58"/>
    </sheetView>
  </sheetViews>
  <sheetFormatPr defaultRowHeight="12.75"/>
  <cols>
    <col min="2" max="2" width="18.140625" customWidth="1"/>
    <col min="3" max="3" width="21.28515625" customWidth="1"/>
    <col min="4" max="4" width="16.140625" customWidth="1"/>
    <col min="5" max="5" width="22.85546875" customWidth="1"/>
    <col min="6" max="6" width="19.5703125" customWidth="1"/>
    <col min="7" max="7" width="11.5703125" customWidth="1"/>
    <col min="8" max="8" width="15.140625" customWidth="1"/>
  </cols>
  <sheetData>
    <row r="1" spans="1:8" ht="15.75">
      <c r="A1" s="608"/>
      <c r="B1" s="1996" t="str">
        <f>" Summary Report For Council of Ministers on Important Developments in Power Sector During Month of " &amp; TEXT(TY," mmm-yyyy")</f>
        <v xml:space="preserve"> Summary Report For Council of Ministers on Important Developments in Power Sector During Month of  Jun-2021</v>
      </c>
      <c r="C1" s="1997"/>
      <c r="D1" s="1997"/>
      <c r="E1" s="1997"/>
      <c r="F1" s="1997"/>
      <c r="G1" s="1997"/>
      <c r="H1" s="612"/>
    </row>
    <row r="2" spans="1:8" ht="15.75">
      <c r="A2" s="612"/>
      <c r="B2" s="1997"/>
      <c r="C2" s="1997"/>
      <c r="D2" s="1997"/>
      <c r="E2" s="1997"/>
      <c r="F2" s="1997"/>
      <c r="G2" s="1997"/>
      <c r="H2" s="612"/>
    </row>
    <row r="3" spans="1:8">
      <c r="A3" s="608"/>
      <c r="B3" s="1997"/>
      <c r="C3" s="1997"/>
      <c r="D3" s="1997"/>
      <c r="E3" s="1997"/>
      <c r="F3" s="1997"/>
      <c r="G3" s="1997"/>
      <c r="H3" s="608"/>
    </row>
    <row r="4" spans="1:8">
      <c r="A4" s="608"/>
      <c r="B4" s="608"/>
      <c r="C4" s="608"/>
      <c r="D4" s="608"/>
      <c r="E4" s="608"/>
      <c r="F4" s="608"/>
      <c r="G4" s="440"/>
      <c r="H4" s="608"/>
    </row>
    <row r="5" spans="1:8" ht="16.5">
      <c r="A5" s="608"/>
      <c r="B5" s="613" t="str">
        <f>"A.    Genration Capacity Addition for" &amp; TEXT(TY," mmm-yyyy")</f>
        <v>A.    Genration Capacity Addition for Jun-2021</v>
      </c>
      <c r="C5" s="614"/>
      <c r="D5" s="608"/>
      <c r="E5" s="608"/>
      <c r="F5" s="608"/>
      <c r="G5" s="440"/>
      <c r="H5" s="608"/>
    </row>
    <row r="6" spans="1:8" ht="17.25" thickBot="1">
      <c r="A6" s="608"/>
      <c r="B6" s="613"/>
      <c r="C6" s="614"/>
      <c r="D6" s="608"/>
      <c r="E6" s="608"/>
      <c r="F6" s="608" t="s">
        <v>783</v>
      </c>
      <c r="G6" s="440"/>
      <c r="H6" s="608"/>
    </row>
    <row r="7" spans="1:8">
      <c r="A7" s="608"/>
      <c r="B7" s="1998" t="s">
        <v>483</v>
      </c>
      <c r="C7" s="619" t="s">
        <v>444</v>
      </c>
      <c r="D7" s="619" t="s">
        <v>421</v>
      </c>
      <c r="E7" s="619" t="s">
        <v>444</v>
      </c>
      <c r="F7" s="2000" t="s">
        <v>784</v>
      </c>
      <c r="G7" s="440"/>
      <c r="H7" s="608"/>
    </row>
    <row r="8" spans="1:8">
      <c r="A8" s="608"/>
      <c r="B8" s="1999"/>
      <c r="C8" s="64">
        <f>LY</f>
        <v>43983</v>
      </c>
      <c r="D8" s="1616">
        <f>TY</f>
        <v>44348</v>
      </c>
      <c r="E8" s="1617"/>
      <c r="F8" s="1648"/>
      <c r="G8" s="440"/>
      <c r="H8" s="608"/>
    </row>
    <row r="9" spans="1:8">
      <c r="A9" s="608"/>
      <c r="B9" s="620" t="s">
        <v>405</v>
      </c>
      <c r="C9" s="641">
        <f>'2'!D6</f>
        <v>270</v>
      </c>
      <c r="D9" s="641">
        <f>'2'!E6</f>
        <v>660</v>
      </c>
      <c r="E9" s="641">
        <f>'2'!F6</f>
        <v>0</v>
      </c>
      <c r="F9" s="647">
        <f>'2'!G6</f>
        <v>-100</v>
      </c>
      <c r="G9" s="440"/>
      <c r="H9" s="608"/>
    </row>
    <row r="10" spans="1:8">
      <c r="A10" s="608"/>
      <c r="B10" s="620" t="s">
        <v>407</v>
      </c>
      <c r="C10" s="641">
        <f>'2'!D7</f>
        <v>0</v>
      </c>
      <c r="D10" s="641">
        <f>'2'!E7</f>
        <v>0</v>
      </c>
      <c r="E10" s="641">
        <f>'2'!F7</f>
        <v>112.97799999999999</v>
      </c>
      <c r="F10" s="647" t="str">
        <f>'2'!G7</f>
        <v>NA</v>
      </c>
      <c r="G10" s="440"/>
      <c r="H10" s="608"/>
    </row>
    <row r="11" spans="1:8">
      <c r="A11" s="608"/>
      <c r="B11" s="620" t="s">
        <v>411</v>
      </c>
      <c r="C11" s="641">
        <f>'2'!D8</f>
        <v>0</v>
      </c>
      <c r="D11" s="641">
        <f>'2'!E8</f>
        <v>0</v>
      </c>
      <c r="E11" s="641">
        <f>'2'!F8</f>
        <v>0</v>
      </c>
      <c r="F11" s="647" t="str">
        <f>'2'!G8</f>
        <v>NA</v>
      </c>
      <c r="G11" s="440"/>
      <c r="H11" s="608"/>
    </row>
    <row r="12" spans="1:8" ht="13.5" thickBot="1">
      <c r="A12" s="608"/>
      <c r="B12" s="621" t="s">
        <v>433</v>
      </c>
      <c r="C12" s="645">
        <f>'2'!D9</f>
        <v>270</v>
      </c>
      <c r="D12" s="645">
        <f>'2'!E9</f>
        <v>660</v>
      </c>
      <c r="E12" s="645">
        <f>'2'!F9</f>
        <v>112.97799999999999</v>
      </c>
      <c r="F12" s="648">
        <f>'2'!G9</f>
        <v>-58.156296296296297</v>
      </c>
      <c r="G12" s="440"/>
      <c r="H12" s="608"/>
    </row>
    <row r="13" spans="1:8">
      <c r="A13" s="608"/>
      <c r="B13" s="608"/>
      <c r="C13" s="608"/>
      <c r="D13" s="608"/>
      <c r="E13" s="608"/>
      <c r="F13" s="608"/>
      <c r="G13" s="440"/>
      <c r="H13" s="608"/>
    </row>
    <row r="14" spans="1:8" s="679" customFormat="1">
      <c r="G14" s="440"/>
    </row>
    <row r="15" spans="1:8">
      <c r="A15" s="608"/>
      <c r="B15" s="7" t="s">
        <v>785</v>
      </c>
      <c r="C15" s="608"/>
      <c r="D15" s="608"/>
      <c r="E15" s="608"/>
      <c r="F15" s="608"/>
      <c r="G15" s="440"/>
      <c r="H15" s="608"/>
    </row>
    <row r="16" spans="1:8" ht="13.5" thickBot="1">
      <c r="A16" s="608"/>
      <c r="B16" s="608"/>
      <c r="C16" s="608"/>
      <c r="D16" s="608"/>
      <c r="E16" s="608"/>
      <c r="F16" s="608" t="s">
        <v>786</v>
      </c>
      <c r="G16" s="440"/>
      <c r="H16" s="608"/>
    </row>
    <row r="17" spans="1:8">
      <c r="A17" s="608"/>
      <c r="B17" s="642" t="s">
        <v>397</v>
      </c>
      <c r="C17" s="622">
        <f>LY</f>
        <v>43983</v>
      </c>
      <c r="D17" s="622">
        <f>TY</f>
        <v>44348</v>
      </c>
      <c r="E17" s="623" t="str">
        <f>CLY</f>
        <v>Apr-20 to Jun-20</v>
      </c>
      <c r="F17" s="624" t="str">
        <f>CTY</f>
        <v>Apr-21 to Jun-21</v>
      </c>
      <c r="G17" s="440"/>
      <c r="H17" s="608"/>
    </row>
    <row r="18" spans="1:8">
      <c r="A18" s="608"/>
      <c r="B18" s="625" t="s">
        <v>396</v>
      </c>
      <c r="C18" s="640">
        <f>VLOOKUP($B18,'5'!$C$4:$G$9,2,FALSE)</f>
        <v>0</v>
      </c>
      <c r="D18" s="640">
        <f>VLOOKUP($B18,'5'!$C$4:$G$9,4,FALSE)</f>
        <v>0</v>
      </c>
      <c r="E18" s="640">
        <f>VLOOKUP($B18,'5'!$C$28:$G$33,2,FALSE)</f>
        <v>0</v>
      </c>
      <c r="F18" s="649">
        <f>VLOOKUP($B18,'5'!$C$28:$G$33,4,FALSE)</f>
        <v>0</v>
      </c>
      <c r="G18" s="440"/>
      <c r="H18" s="608"/>
    </row>
    <row r="19" spans="1:8">
      <c r="A19" s="608"/>
      <c r="B19" s="625" t="s">
        <v>527</v>
      </c>
      <c r="C19" s="640">
        <f>VLOOKUP($B19,'5'!$C$4:$G$9,2,FALSE)</f>
        <v>0</v>
      </c>
      <c r="D19" s="640">
        <f>VLOOKUP($B19,'5'!$C$4:$G$9,4,FALSE)</f>
        <v>0</v>
      </c>
      <c r="E19" s="640">
        <f>VLOOKUP($B19,'5'!$C$28:$G$33,2,FALSE)</f>
        <v>0</v>
      </c>
      <c r="F19" s="649">
        <f>VLOOKUP($B19,'5'!$C$28:$G$33,4,FALSE)</f>
        <v>0</v>
      </c>
      <c r="G19" s="440"/>
      <c r="H19" s="608"/>
    </row>
    <row r="20" spans="1:8">
      <c r="A20" s="608"/>
      <c r="B20" s="620" t="s">
        <v>424</v>
      </c>
      <c r="C20" s="640">
        <f>VLOOKUP($B20,'5'!$C$4:$G$9,2,FALSE)</f>
        <v>1</v>
      </c>
      <c r="D20" s="640">
        <f>VLOOKUP($B20,'5'!$C$4:$G$9,4,FALSE)</f>
        <v>0</v>
      </c>
      <c r="E20" s="640">
        <f>VLOOKUP($B20,'5'!$C$28:$G$33,2,FALSE)</f>
        <v>2</v>
      </c>
      <c r="F20" s="649">
        <f>VLOOKUP($B20,'5'!$C$28:$G$33,4,FALSE)</f>
        <v>268</v>
      </c>
      <c r="G20" s="440"/>
      <c r="H20" s="608"/>
    </row>
    <row r="21" spans="1:8">
      <c r="A21" s="608"/>
      <c r="B21" s="620" t="s">
        <v>423</v>
      </c>
      <c r="C21" s="640">
        <f>VLOOKUP($B21,'5'!$C$4:$G$9,2,FALSE)</f>
        <v>0</v>
      </c>
      <c r="D21" s="640">
        <f>VLOOKUP($B21,'5'!$C$4:$G$9,4,FALSE)</f>
        <v>328</v>
      </c>
      <c r="E21" s="640">
        <f>VLOOKUP($B21,'5'!$C$28:$G$33,2,FALSE)</f>
        <v>378</v>
      </c>
      <c r="F21" s="649">
        <f>VLOOKUP($B21,'5'!$C$28:$G$33,4,FALSE)</f>
        <v>642</v>
      </c>
      <c r="G21" s="440"/>
      <c r="H21" s="608"/>
    </row>
    <row r="22" spans="1:8">
      <c r="A22" s="608"/>
      <c r="B22" s="626" t="s">
        <v>422</v>
      </c>
      <c r="C22" s="640">
        <f>VLOOKUP($B22,'5'!$C$4:$G$9,2,FALSE)</f>
        <v>391</v>
      </c>
      <c r="D22" s="640">
        <f>VLOOKUP($B22,'5'!$C$4:$G$9,4,FALSE)</f>
        <v>523</v>
      </c>
      <c r="E22" s="640">
        <f>VLOOKUP($B22,'5'!$C$28:$G$33,2,FALSE)</f>
        <v>711</v>
      </c>
      <c r="F22" s="649">
        <f>VLOOKUP($B22,'5'!$C$28:$G$33,4,FALSE)</f>
        <v>640</v>
      </c>
      <c r="G22" s="440"/>
      <c r="H22" s="608"/>
    </row>
    <row r="23" spans="1:8" ht="13.5" thickBot="1">
      <c r="A23" s="608"/>
      <c r="B23" s="621" t="s">
        <v>433</v>
      </c>
      <c r="C23" s="645">
        <f>SUM(C18:C22)</f>
        <v>392</v>
      </c>
      <c r="D23" s="645">
        <f>SUM(D18:D22)</f>
        <v>851</v>
      </c>
      <c r="E23" s="645">
        <f>SUM(E18:E22)</f>
        <v>1091</v>
      </c>
      <c r="F23" s="646">
        <f>SUM(F18:F22)</f>
        <v>1550</v>
      </c>
      <c r="G23" s="440"/>
      <c r="H23" s="608"/>
    </row>
    <row r="24" spans="1:8">
      <c r="A24" s="608"/>
      <c r="B24" s="608"/>
      <c r="C24" s="608"/>
      <c r="D24" s="608"/>
      <c r="E24" s="608"/>
      <c r="F24" s="608"/>
      <c r="G24" s="440"/>
      <c r="H24" s="608"/>
    </row>
    <row r="25" spans="1:8">
      <c r="A25" s="608"/>
      <c r="B25" s="2001" t="s">
        <v>787</v>
      </c>
      <c r="C25" s="2002"/>
      <c r="D25" s="2002"/>
      <c r="E25" s="2002"/>
      <c r="F25" s="2002"/>
      <c r="G25" s="440"/>
      <c r="H25" s="608"/>
    </row>
    <row r="26" spans="1:8" ht="13.5" thickBot="1">
      <c r="A26" s="608"/>
      <c r="B26" s="608"/>
      <c r="C26" s="608"/>
      <c r="D26" s="608"/>
      <c r="E26" s="608"/>
      <c r="F26" s="12" t="s">
        <v>800</v>
      </c>
      <c r="G26" s="440"/>
      <c r="H26" s="608"/>
    </row>
    <row r="27" spans="1:8" ht="39.75" customHeight="1">
      <c r="A27" s="608"/>
      <c r="B27" s="2003" t="s">
        <v>483</v>
      </c>
      <c r="C27" s="623" t="s">
        <v>801</v>
      </c>
      <c r="D27" s="623" t="s">
        <v>802</v>
      </c>
      <c r="E27" s="623" t="s">
        <v>803</v>
      </c>
      <c r="F27" s="627" t="str">
        <f>" % Change Achievement  w.r.t" &amp; TEXT(LY," mmm-yyyy")</f>
        <v xml:space="preserve"> % Change Achievement  w.r.t Jun-2020</v>
      </c>
      <c r="G27" s="440"/>
      <c r="H27" s="608"/>
    </row>
    <row r="28" spans="1:8">
      <c r="A28" s="608"/>
      <c r="B28" s="2004"/>
      <c r="C28" s="615">
        <f>LY</f>
        <v>43983</v>
      </c>
      <c r="D28" s="615">
        <f>TY</f>
        <v>44348</v>
      </c>
      <c r="E28" s="615">
        <f>TY</f>
        <v>44348</v>
      </c>
      <c r="F28" s="628"/>
      <c r="G28" s="440"/>
      <c r="H28" s="608"/>
    </row>
    <row r="29" spans="1:8">
      <c r="A29" s="608"/>
      <c r="B29" s="620" t="s">
        <v>405</v>
      </c>
      <c r="C29" s="192">
        <f>VLOOKUP($B29,'1A'!$B$5:$H$9,2,FALSE)</f>
        <v>78.147170000000003</v>
      </c>
      <c r="D29" s="192">
        <f>VLOOKUP($B29,'1A'!$B$5:$H$9,4,FALSE)</f>
        <v>92.727999999999994</v>
      </c>
      <c r="E29" s="192">
        <f>VLOOKUP($B29,'1A'!$B$5:$H$9,6,FALSE)</f>
        <v>85.478130000000007</v>
      </c>
      <c r="F29" s="726">
        <f>(E29-C29)*100/C29</f>
        <v>9.3809667067918188</v>
      </c>
      <c r="G29" s="440"/>
      <c r="H29" s="608"/>
    </row>
    <row r="30" spans="1:8">
      <c r="A30" s="608"/>
      <c r="B30" s="620" t="s">
        <v>411</v>
      </c>
      <c r="C30" s="192">
        <f>VLOOKUP($B30,'1A'!$B$5:$H$9,2,FALSE)</f>
        <v>3.7647300000000001</v>
      </c>
      <c r="D30" s="192">
        <f>VLOOKUP($B30,'1A'!$B$5:$H$9,4,FALSE)</f>
        <v>3.6230000000000002</v>
      </c>
      <c r="E30" s="192">
        <f>VLOOKUP($B30,'1A'!$B$5:$H$9,6,FALSE)</f>
        <v>3.7934800000000002</v>
      </c>
      <c r="F30" s="726">
        <f>(E30-C30)*100/C30</f>
        <v>0.76366698275839306</v>
      </c>
      <c r="G30" s="440"/>
      <c r="H30" s="608"/>
    </row>
    <row r="31" spans="1:8">
      <c r="A31" s="608"/>
      <c r="B31" s="620" t="s">
        <v>407</v>
      </c>
      <c r="C31" s="192">
        <f>VLOOKUP($B31,'1A'!$B$5:$H$9,2,FALSE)</f>
        <v>17.015819999999998</v>
      </c>
      <c r="D31" s="192">
        <f>VLOOKUP($B31,'1A'!$B$5:$H$9,4,FALSE)</f>
        <v>15.340999999999999</v>
      </c>
      <c r="E31" s="192">
        <f>VLOOKUP($B31,'1A'!$B$5:$H$9,6,FALSE)</f>
        <v>16.000209999999999</v>
      </c>
      <c r="F31" s="726">
        <f>(E31-C31)*100/C31</f>
        <v>-5.9686221410428582</v>
      </c>
      <c r="G31" s="440"/>
      <c r="H31" s="608"/>
    </row>
    <row r="32" spans="1:8">
      <c r="A32" s="608"/>
      <c r="B32" s="626" t="s">
        <v>21</v>
      </c>
      <c r="C32" s="192">
        <f>VLOOKUP($B32,'1A'!$B$5:$H$9,2,FALSE)</f>
        <v>1.2144999999999999</v>
      </c>
      <c r="D32" s="192">
        <f>VLOOKUP($B32,'1A'!$B$5:$H$9,4,FALSE)</f>
        <v>1.1439999999999999</v>
      </c>
      <c r="E32" s="192">
        <f>VLOOKUP($B32,'1A'!$B$5:$H$9,6,FALSE)</f>
        <v>1.14574</v>
      </c>
      <c r="F32" s="726">
        <f>(E32-C32)*100/C32</f>
        <v>-5.6615891313297606</v>
      </c>
      <c r="G32" s="440"/>
      <c r="H32" s="608"/>
    </row>
    <row r="33" spans="1:8" ht="13.5" thickBot="1">
      <c r="A33" s="608"/>
      <c r="B33" s="621" t="s">
        <v>433</v>
      </c>
      <c r="C33" s="731">
        <f>SUM(C29:C32)</f>
        <v>100.14221999999999</v>
      </c>
      <c r="D33" s="731">
        <f>SUM(D29:D32)</f>
        <v>112.836</v>
      </c>
      <c r="E33" s="731">
        <f>SUM(E29:E32)</f>
        <v>106.41756000000001</v>
      </c>
      <c r="F33" s="732">
        <f>(E33-C33)*100/C33</f>
        <v>6.2664278862601757</v>
      </c>
      <c r="G33" s="440"/>
      <c r="H33" s="608"/>
    </row>
    <row r="34" spans="1:8">
      <c r="A34" s="608"/>
      <c r="B34" s="608"/>
      <c r="C34" s="608"/>
      <c r="D34" s="608"/>
      <c r="E34" s="608"/>
      <c r="F34" s="608"/>
      <c r="G34" s="440"/>
      <c r="H34" s="608"/>
    </row>
    <row r="35" spans="1:8">
      <c r="A35" s="608"/>
      <c r="B35" s="616" t="s">
        <v>894</v>
      </c>
      <c r="C35" s="608"/>
      <c r="D35" s="608"/>
      <c r="E35" s="608"/>
      <c r="F35" s="608"/>
      <c r="G35" s="440"/>
      <c r="H35" s="608"/>
    </row>
    <row r="36" spans="1:8" ht="13.5" thickBot="1">
      <c r="A36" s="608"/>
      <c r="B36" s="608"/>
      <c r="C36" s="608"/>
      <c r="D36" s="608"/>
      <c r="E36" s="608"/>
      <c r="F36" s="608"/>
      <c r="G36" s="440"/>
      <c r="H36" s="608"/>
    </row>
    <row r="37" spans="1:8" ht="15">
      <c r="A37" s="608"/>
      <c r="B37" s="629"/>
      <c r="C37" s="1992" t="s">
        <v>788</v>
      </c>
      <c r="D37" s="1992"/>
      <c r="E37" s="1993" t="str">
        <f>"% Change w.r.t" &amp; TEXT(LY," mmm-yyyy")</f>
        <v>% Change w.r.t Jun-2020</v>
      </c>
      <c r="F37" s="608"/>
      <c r="G37" s="440"/>
      <c r="H37" s="608"/>
    </row>
    <row r="38" spans="1:8" ht="15">
      <c r="A38" s="608"/>
      <c r="B38" s="630" t="s">
        <v>404</v>
      </c>
      <c r="C38" s="617">
        <f>LY</f>
        <v>43983</v>
      </c>
      <c r="D38" s="618">
        <f>TY</f>
        <v>44348</v>
      </c>
      <c r="E38" s="1994"/>
      <c r="F38" s="608"/>
      <c r="G38" s="440"/>
      <c r="H38" s="608"/>
    </row>
    <row r="39" spans="1:8" ht="15">
      <c r="A39" s="608"/>
      <c r="B39" s="631" t="s">
        <v>415</v>
      </c>
      <c r="C39" s="29">
        <f>VLOOKUP($B39,'10'!$C$6:$E$10,2,FALSE)</f>
        <v>58.500273786984444</v>
      </c>
      <c r="D39" s="29">
        <f>VLOOKUP($B39,'10'!$C$6:$E$10,3,FALSE)</f>
        <v>66.429873613384245</v>
      </c>
      <c r="E39" s="680">
        <f>(D39-C39)*100/C39</f>
        <v>13.554808059999258</v>
      </c>
      <c r="F39" s="608"/>
      <c r="G39" s="440"/>
      <c r="H39" s="608"/>
    </row>
    <row r="40" spans="1:8" ht="15">
      <c r="A40" s="608"/>
      <c r="B40" s="631" t="s">
        <v>413</v>
      </c>
      <c r="C40" s="29">
        <f>VLOOKUP($B40,'10'!$C$6:$E$10,2,FALSE)</f>
        <v>39.727570133190568</v>
      </c>
      <c r="D40" s="29">
        <f>VLOOKUP($B40,'10'!$C$6:$E$10,3,FALSE)</f>
        <v>44.603037915947993</v>
      </c>
      <c r="E40" s="680">
        <f>(D40-C40)*100/C40</f>
        <v>12.272252660839671</v>
      </c>
      <c r="F40" s="608"/>
      <c r="G40" s="440"/>
      <c r="H40" s="608"/>
    </row>
    <row r="41" spans="1:8" ht="15">
      <c r="A41" s="608"/>
      <c r="B41" s="727" t="s">
        <v>891</v>
      </c>
      <c r="C41" s="29">
        <f>VLOOKUP($B41,'10'!$C$6:$E$10,2,FALSE)</f>
        <v>51.754341059873866</v>
      </c>
      <c r="D41" s="29">
        <f>VLOOKUP($B41,'10'!$C$6:$E$10,3,FALSE)</f>
        <v>54.68241400545439</v>
      </c>
      <c r="E41" s="680">
        <f>(D41-C41)*100/C41</f>
        <v>5.6576373800085253</v>
      </c>
      <c r="F41" s="608"/>
      <c r="G41" s="440"/>
      <c r="H41" s="608"/>
    </row>
    <row r="42" spans="1:8" s="707" customFormat="1" ht="15">
      <c r="B42" s="727" t="s">
        <v>892</v>
      </c>
      <c r="C42" s="29">
        <f>VLOOKUP($B42,'10'!$C$6:$E$10,2,FALSE)</f>
        <v>56.101571063207892</v>
      </c>
      <c r="D42" s="29">
        <f>VLOOKUP($B42,'10'!$C$6:$E$10,3,FALSE)</f>
        <v>61.402894491129778</v>
      </c>
      <c r="E42" s="680">
        <f>(D42-C42)*100/C42</f>
        <v>9.449509750714558</v>
      </c>
      <c r="G42" s="440"/>
    </row>
    <row r="43" spans="1:8" ht="15.75" thickBot="1">
      <c r="A43" s="608"/>
      <c r="B43" s="632" t="s">
        <v>420</v>
      </c>
      <c r="C43" s="633">
        <f>VLOOKUP($B43,'10'!$C$6:$E$10,2,FALSE)</f>
        <v>49.881817919087048</v>
      </c>
      <c r="D43" s="633">
        <f>VLOOKUP($B43,'10'!$C$6:$E$10,3,FALSE)</f>
        <v>55.051628755332452</v>
      </c>
      <c r="E43" s="681">
        <f>(D43-C43)*100/C43</f>
        <v>10.364118734869121</v>
      </c>
      <c r="F43" s="608"/>
      <c r="G43" s="440"/>
      <c r="H43" s="608"/>
    </row>
    <row r="44" spans="1:8">
      <c r="A44" s="608"/>
      <c r="B44" s="608"/>
      <c r="C44" s="608"/>
      <c r="D44" s="440"/>
      <c r="E44" s="608"/>
      <c r="F44" s="608"/>
      <c r="G44" s="440"/>
      <c r="H44" s="608"/>
    </row>
    <row r="45" spans="1:8">
      <c r="A45" s="608"/>
      <c r="B45" s="608"/>
      <c r="C45" s="608"/>
      <c r="D45" s="608"/>
      <c r="E45" s="608"/>
      <c r="F45" s="608"/>
      <c r="G45" s="440"/>
      <c r="H45" s="608"/>
    </row>
    <row r="46" spans="1:8">
      <c r="A46" s="608"/>
      <c r="B46" s="7" t="str">
        <f>"E.   Hydro  Projects  Accorded  for Concurrence by  CEA in"&amp; TEXT(TY," mmm-yyyy")</f>
        <v>E.   Hydro  Projects  Accorded  for Concurrence by  CEA in Jun-2021</v>
      </c>
      <c r="C46" s="608"/>
      <c r="D46" s="608"/>
      <c r="E46" s="608"/>
      <c r="F46" s="608"/>
      <c r="G46" s="440"/>
      <c r="H46" s="608"/>
    </row>
    <row r="47" spans="1:8">
      <c r="A47" s="608"/>
      <c r="B47" s="7"/>
      <c r="C47" s="608"/>
      <c r="D47" s="608"/>
      <c r="E47" s="608"/>
      <c r="F47" s="608"/>
      <c r="G47" s="440"/>
      <c r="H47" s="608"/>
    </row>
    <row r="48" spans="1:8">
      <c r="A48" s="608"/>
      <c r="B48" s="12" t="s">
        <v>1022</v>
      </c>
      <c r="C48" s="608"/>
      <c r="D48" s="608"/>
      <c r="E48" s="608"/>
      <c r="F48" s="608"/>
      <c r="G48" s="440"/>
      <c r="H48" s="608"/>
    </row>
    <row r="49" spans="1:9">
      <c r="A49" s="608"/>
      <c r="B49" s="608"/>
      <c r="C49" s="608"/>
      <c r="D49" s="608"/>
      <c r="E49" s="608"/>
      <c r="F49" s="608"/>
      <c r="G49" s="440"/>
      <c r="H49" s="608"/>
    </row>
    <row r="50" spans="1:9">
      <c r="A50" s="608"/>
      <c r="B50" s="7" t="s">
        <v>789</v>
      </c>
      <c r="C50" s="608"/>
      <c r="D50" s="608"/>
      <c r="E50" s="608"/>
      <c r="F50" s="608"/>
      <c r="G50" s="440"/>
      <c r="H50" s="608"/>
    </row>
    <row r="51" spans="1:9" ht="13.5" thickBot="1">
      <c r="A51" s="608"/>
      <c r="B51" s="608"/>
      <c r="C51" s="608"/>
      <c r="D51" s="608"/>
      <c r="E51" s="608"/>
      <c r="F51" s="1995" t="s">
        <v>790</v>
      </c>
      <c r="G51" s="1608"/>
      <c r="H51" s="1608"/>
    </row>
    <row r="52" spans="1:9" ht="38.25">
      <c r="A52" s="608"/>
      <c r="B52" s="634" t="s">
        <v>41</v>
      </c>
      <c r="C52" s="635" t="s">
        <v>791</v>
      </c>
      <c r="D52" s="635" t="s">
        <v>792</v>
      </c>
      <c r="E52" s="635" t="s">
        <v>793</v>
      </c>
      <c r="F52" s="635" t="s">
        <v>794</v>
      </c>
      <c r="G52" s="636" t="s">
        <v>795</v>
      </c>
      <c r="H52" s="637" t="s">
        <v>796</v>
      </c>
    </row>
    <row r="53" spans="1:9" ht="31.5" customHeight="1">
      <c r="A53" s="608"/>
      <c r="B53" s="638">
        <f>TY</f>
        <v>44348</v>
      </c>
      <c r="C53" s="650"/>
      <c r="D53" s="650"/>
      <c r="E53" s="650"/>
      <c r="F53" s="651"/>
      <c r="G53" s="652"/>
      <c r="H53" s="653"/>
    </row>
    <row r="54" spans="1:9" ht="33.75" customHeight="1" thickBot="1">
      <c r="A54" s="608"/>
      <c r="B54" s="639">
        <f>LY</f>
        <v>43983</v>
      </c>
      <c r="C54" s="654"/>
      <c r="D54" s="654"/>
      <c r="E54" s="654"/>
      <c r="F54" s="655"/>
      <c r="G54" s="656"/>
      <c r="H54" s="657"/>
    </row>
    <row r="55" spans="1:9">
      <c r="A55" s="608"/>
      <c r="B55" s="7" t="s">
        <v>797</v>
      </c>
      <c r="C55" s="608"/>
      <c r="D55" s="608"/>
      <c r="E55" s="608"/>
      <c r="F55" s="608"/>
      <c r="G55" s="440"/>
      <c r="H55" s="608"/>
    </row>
    <row r="56" spans="1:9">
      <c r="A56" s="608"/>
      <c r="B56" s="12" t="s">
        <v>798</v>
      </c>
      <c r="C56" s="608"/>
      <c r="D56" s="608"/>
      <c r="E56" s="608"/>
      <c r="F56" s="608"/>
      <c r="G56" s="440"/>
      <c r="H56" s="608"/>
    </row>
    <row r="57" spans="1:9">
      <c r="A57" s="608"/>
      <c r="B57" s="608" t="s">
        <v>799</v>
      </c>
      <c r="C57" s="608"/>
      <c r="D57" s="608"/>
      <c r="E57" s="608"/>
      <c r="F57" s="608"/>
      <c r="G57" s="440"/>
      <c r="H57" s="608"/>
    </row>
    <row r="58" spans="1:9">
      <c r="A58" s="608"/>
      <c r="B58" s="608"/>
      <c r="C58" s="608"/>
      <c r="D58" s="608"/>
      <c r="E58" s="608"/>
      <c r="F58" s="608"/>
      <c r="G58" s="440"/>
      <c r="H58" s="608"/>
    </row>
    <row r="59" spans="1:9">
      <c r="A59" s="608"/>
      <c r="B59" s="608"/>
      <c r="C59" s="608"/>
      <c r="D59" s="608"/>
      <c r="E59" s="608"/>
      <c r="F59" s="608"/>
      <c r="G59" s="440"/>
      <c r="H59" s="608"/>
    </row>
    <row r="60" spans="1:9">
      <c r="A60" s="568">
        <v>43469</v>
      </c>
      <c r="E60" s="12" t="s">
        <v>916</v>
      </c>
      <c r="G60" s="12" t="s">
        <v>916</v>
      </c>
      <c r="H60" s="12" t="s">
        <v>914</v>
      </c>
      <c r="I60" s="12" t="s">
        <v>915</v>
      </c>
    </row>
    <row r="61" spans="1:9">
      <c r="A61">
        <f>IF(MONTH(A60)&lt;=3,MONTH(A60)+9,MONTH(A60))</f>
        <v>10</v>
      </c>
      <c r="C61">
        <f ca="1">OFFSET(H61,A61-1,0)</f>
        <v>4105</v>
      </c>
      <c r="D61" s="442">
        <v>42826</v>
      </c>
      <c r="E61">
        <v>1</v>
      </c>
      <c r="F61" s="442">
        <v>43191</v>
      </c>
      <c r="G61" s="740">
        <v>1</v>
      </c>
      <c r="H61">
        <f>E61</f>
        <v>1</v>
      </c>
      <c r="I61" s="740">
        <f>G61</f>
        <v>1</v>
      </c>
    </row>
    <row r="62" spans="1:9">
      <c r="D62" s="442">
        <v>42856</v>
      </c>
      <c r="E62">
        <v>2</v>
      </c>
      <c r="F62" s="442">
        <v>43221</v>
      </c>
      <c r="G62" s="740">
        <v>2</v>
      </c>
      <c r="H62">
        <f>SUM($E$61:$E62)</f>
        <v>3</v>
      </c>
      <c r="I62" s="740">
        <f>SUM($G$61:$G62)</f>
        <v>3</v>
      </c>
    </row>
    <row r="63" spans="1:9">
      <c r="D63" s="442">
        <v>42887</v>
      </c>
      <c r="E63" s="740">
        <v>45</v>
      </c>
      <c r="F63" s="442">
        <v>43252</v>
      </c>
      <c r="G63" s="740">
        <v>3</v>
      </c>
      <c r="H63" s="740">
        <f>SUM($E$61:$E63)</f>
        <v>48</v>
      </c>
      <c r="I63" s="740">
        <f>SUM($G$61:$G63)</f>
        <v>6</v>
      </c>
    </row>
    <row r="64" spans="1:9">
      <c r="D64" s="442">
        <v>42917</v>
      </c>
      <c r="E64" s="740">
        <v>656</v>
      </c>
      <c r="F64" s="442">
        <v>43282</v>
      </c>
      <c r="G64" s="740">
        <v>4</v>
      </c>
      <c r="H64" s="740">
        <f>SUM($E$61:$E64)</f>
        <v>704</v>
      </c>
      <c r="I64" s="740">
        <f>SUM($G$61:$G64)</f>
        <v>10</v>
      </c>
    </row>
    <row r="65" spans="4:9">
      <c r="D65" s="442">
        <v>42948</v>
      </c>
      <c r="E65" s="740">
        <v>3361</v>
      </c>
      <c r="F65" s="442">
        <v>43313</v>
      </c>
      <c r="G65" s="740">
        <v>5</v>
      </c>
      <c r="H65" s="740">
        <f>SUM($E$61:$E65)</f>
        <v>4065</v>
      </c>
      <c r="I65" s="740">
        <f>SUM($G$61:$G65)</f>
        <v>15</v>
      </c>
    </row>
    <row r="66" spans="4:9">
      <c r="D66" s="442">
        <v>42979</v>
      </c>
      <c r="E66" s="740">
        <v>6</v>
      </c>
      <c r="F66" s="442">
        <v>43344</v>
      </c>
      <c r="G66" s="740">
        <v>6</v>
      </c>
      <c r="H66" s="740">
        <f>SUM($E$61:$E66)</f>
        <v>4071</v>
      </c>
      <c r="I66" s="740">
        <f>SUM($G$61:$G66)</f>
        <v>21</v>
      </c>
    </row>
    <row r="67" spans="4:9">
      <c r="D67" s="442">
        <v>43009</v>
      </c>
      <c r="E67" s="740">
        <v>7</v>
      </c>
      <c r="F67" s="442">
        <v>43374</v>
      </c>
      <c r="G67" s="740">
        <v>7</v>
      </c>
      <c r="H67" s="740">
        <f>SUM($E$61:$E67)</f>
        <v>4078</v>
      </c>
      <c r="I67" s="740">
        <f>SUM($G$61:$G67)</f>
        <v>28</v>
      </c>
    </row>
    <row r="68" spans="4:9">
      <c r="D68" s="442">
        <v>43040</v>
      </c>
      <c r="E68" s="740">
        <v>8</v>
      </c>
      <c r="F68" s="442">
        <v>43405</v>
      </c>
      <c r="G68" s="740">
        <v>8</v>
      </c>
      <c r="H68" s="740">
        <f>SUM($E$61:$E68)</f>
        <v>4086</v>
      </c>
      <c r="I68" s="740">
        <f>SUM($G$61:$G68)</f>
        <v>36</v>
      </c>
    </row>
    <row r="69" spans="4:9">
      <c r="D69" s="442">
        <v>43070</v>
      </c>
      <c r="E69" s="740">
        <v>9</v>
      </c>
      <c r="F69" s="442">
        <v>43435</v>
      </c>
      <c r="G69" s="740">
        <v>9</v>
      </c>
      <c r="H69" s="740">
        <f>SUM($E$61:$E69)</f>
        <v>4095</v>
      </c>
      <c r="I69" s="740">
        <f>SUM($G$61:$G69)</f>
        <v>45</v>
      </c>
    </row>
    <row r="70" spans="4:9">
      <c r="D70" s="442">
        <v>43101</v>
      </c>
      <c r="E70" s="740">
        <v>10</v>
      </c>
      <c r="F70" s="442">
        <v>43466</v>
      </c>
      <c r="G70" s="740">
        <v>10</v>
      </c>
      <c r="H70" s="740">
        <f>SUM($E$61:$E70)</f>
        <v>4105</v>
      </c>
      <c r="I70" s="740">
        <f>SUM($G$61:$G70)</f>
        <v>55</v>
      </c>
    </row>
    <row r="71" spans="4:9">
      <c r="D71" s="442">
        <v>43132</v>
      </c>
      <c r="E71" s="740">
        <v>11</v>
      </c>
      <c r="F71" s="442">
        <v>43497</v>
      </c>
      <c r="G71" s="740">
        <v>11</v>
      </c>
      <c r="H71" s="740">
        <f>SUM($E$61:$E71)</f>
        <v>4116</v>
      </c>
      <c r="I71" s="740">
        <f>SUM($G$61:$G71)</f>
        <v>66</v>
      </c>
    </row>
    <row r="72" spans="4:9">
      <c r="D72" s="442">
        <v>43160</v>
      </c>
      <c r="E72" s="740">
        <v>12</v>
      </c>
      <c r="F72" s="442">
        <v>43525</v>
      </c>
      <c r="G72" s="740">
        <v>12</v>
      </c>
      <c r="H72" s="740">
        <f>SUM($E$61:$E72)</f>
        <v>4128</v>
      </c>
      <c r="I72" s="740">
        <f>SUM($G$61:$G72)</f>
        <v>78</v>
      </c>
    </row>
    <row r="73" spans="4:9">
      <c r="F73" s="442"/>
      <c r="G73" s="442"/>
    </row>
    <row r="74" spans="4:9">
      <c r="F74" s="442"/>
      <c r="G74" s="442"/>
    </row>
  </sheetData>
  <mergeCells count="9">
    <mergeCell ref="C37:D37"/>
    <mergeCell ref="E37:E38"/>
    <mergeCell ref="F51:H51"/>
    <mergeCell ref="B1:G3"/>
    <mergeCell ref="B7:B8"/>
    <mergeCell ref="F7:F8"/>
    <mergeCell ref="D8:E8"/>
    <mergeCell ref="B25:F25"/>
    <mergeCell ref="B27:B28"/>
  </mergeCells>
  <pageMargins left="0.7" right="0.7" top="0.75" bottom="0.75" header="0.3" footer="0.3"/>
  <pageSetup scale="62"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5" tint="-0.249977111117893"/>
  </sheetPr>
  <dimension ref="A1:O52"/>
  <sheetViews>
    <sheetView view="pageBreakPreview" zoomScaleNormal="100" zoomScaleSheetLayoutView="100" workbookViewId="0"/>
  </sheetViews>
  <sheetFormatPr defaultColWidth="9.140625" defaultRowHeight="12.75"/>
  <cols>
    <col min="1" max="1" width="3.42578125" style="5" customWidth="1"/>
    <col min="2" max="2" width="5.42578125" style="5" customWidth="1"/>
    <col min="3" max="3" width="16.140625" style="5" customWidth="1"/>
    <col min="4" max="5" width="13.140625" style="5" customWidth="1"/>
    <col min="6" max="6" width="11.85546875" style="58" customWidth="1"/>
    <col min="7" max="7" width="8.42578125" style="5" customWidth="1"/>
    <col min="8" max="8" width="9.5703125" style="57" customWidth="1"/>
    <col min="9" max="9" width="9" style="57" customWidth="1"/>
    <col min="10" max="10" width="4.140625" style="5" customWidth="1"/>
    <col min="11" max="12" width="9.140625" style="5"/>
    <col min="13" max="13" width="12.85546875" style="5" customWidth="1"/>
    <col min="14" max="16384" width="9.140625" style="5"/>
  </cols>
  <sheetData>
    <row r="1" spans="1:15" ht="24.75" customHeight="1" thickBot="1">
      <c r="A1" s="3"/>
      <c r="B1" s="1702" t="str">
        <f>"G. Power Supply Position (Energy &amp; Peak) in" &amp;TEXT(TY," mmm-yyyy")</f>
        <v>G. Power Supply Position (Energy &amp; Peak) in Jun-2021</v>
      </c>
      <c r="C1" s="1703"/>
      <c r="D1" s="1703"/>
      <c r="E1" s="1703"/>
      <c r="F1" s="1703"/>
      <c r="G1" s="1703"/>
      <c r="H1" s="1703"/>
      <c r="I1" s="1703"/>
      <c r="J1" s="1704"/>
    </row>
    <row r="2" spans="1:15" ht="18.75" customHeight="1">
      <c r="A2" s="3"/>
      <c r="B2" s="660"/>
      <c r="C2" s="45"/>
      <c r="D2" s="45"/>
      <c r="E2" s="45"/>
      <c r="F2" s="45"/>
      <c r="G2" s="45"/>
      <c r="H2" s="45"/>
      <c r="I2" s="50"/>
      <c r="J2" s="40"/>
    </row>
    <row r="3" spans="1:15" ht="17.25" customHeight="1">
      <c r="B3" s="41"/>
      <c r="C3" s="2009" t="s">
        <v>402</v>
      </c>
      <c r="D3" s="2011" t="s">
        <v>427</v>
      </c>
      <c r="E3" s="2011"/>
      <c r="F3" s="2011"/>
      <c r="G3" s="2012"/>
      <c r="H3" s="2013" t="s">
        <v>805</v>
      </c>
      <c r="I3" s="2013"/>
      <c r="J3" s="40"/>
    </row>
    <row r="4" spans="1:15" ht="17.25" customHeight="1">
      <c r="B4" s="41"/>
      <c r="C4" s="2010"/>
      <c r="D4" s="2015" t="s">
        <v>495</v>
      </c>
      <c r="E4" s="2015"/>
      <c r="F4" s="2015" t="s">
        <v>518</v>
      </c>
      <c r="G4" s="2015"/>
      <c r="H4" s="2014"/>
      <c r="I4" s="2014"/>
      <c r="J4" s="40"/>
    </row>
    <row r="5" spans="1:15" ht="17.25" customHeight="1">
      <c r="B5" s="41"/>
      <c r="C5" s="846"/>
      <c r="D5" s="847" t="str">
        <f>TEXT(LY," mmm-yyyy")</f>
        <v xml:space="preserve"> Jun-2020</v>
      </c>
      <c r="E5" s="847" t="str">
        <f>TEXT(TY," mmm-yyyy")</f>
        <v xml:space="preserve"> Jun-2021</v>
      </c>
      <c r="F5" s="847" t="str">
        <f>TEXT(LY," mmm-yyyy")</f>
        <v xml:space="preserve"> Jun-2020</v>
      </c>
      <c r="G5" s="847" t="str">
        <f>TEXT(TY," mmm-yyyy")</f>
        <v xml:space="preserve"> Jun-2021</v>
      </c>
      <c r="H5" s="847" t="str">
        <f>TEXT(LY," mmm-yyyy")</f>
        <v xml:space="preserve"> Jun-2020</v>
      </c>
      <c r="I5" s="847" t="str">
        <f>TEXT(TY," mmm-yyyy")</f>
        <v xml:space="preserve"> Jun-2021</v>
      </c>
      <c r="J5" s="40"/>
    </row>
    <row r="6" spans="1:15" ht="17.25" customHeight="1">
      <c r="B6" s="41"/>
      <c r="C6" s="46" t="s">
        <v>429</v>
      </c>
      <c r="D6" s="301">
        <f>VLOOKUP($C6,'7'!$C$6:$I$11,2,FALSE)</f>
        <v>37781.560000000005</v>
      </c>
      <c r="E6" s="301">
        <f>VLOOKUP($C6,'7'!$C$6:$I$11,3,FALSE)</f>
        <v>39324.967000000004</v>
      </c>
      <c r="F6" s="301">
        <f>VLOOKUP($C6,'7'!$C$6:$I$11,4,FALSE)</f>
        <v>37360.870000000003</v>
      </c>
      <c r="G6" s="301">
        <f>VLOOKUP($C6,'7'!$C$6:$I$11,5,FALSE)</f>
        <v>39013.078999999998</v>
      </c>
      <c r="H6" s="48">
        <f>VLOOKUP($C6,'7'!$C$6:$I$11,6,FALSE)</f>
        <v>-1.1134796975032324</v>
      </c>
      <c r="I6" s="48">
        <f>VLOOKUP($C6,'7'!$C$6:$I$11,7,FALSE)</f>
        <v>-0.79310428919115494</v>
      </c>
      <c r="J6" s="40"/>
      <c r="L6" s="341"/>
      <c r="M6" s="591"/>
      <c r="N6" s="341"/>
      <c r="O6" s="341"/>
    </row>
    <row r="7" spans="1:15" ht="17.25" customHeight="1">
      <c r="B7" s="41"/>
      <c r="C7" s="46" t="s">
        <v>430</v>
      </c>
      <c r="D7" s="301">
        <f>VLOOKUP($C7,'7'!$C$6:$I$11,2,FALSE)</f>
        <v>27836.410646047276</v>
      </c>
      <c r="E7" s="301">
        <f>VLOOKUP($C7,'7'!$C$6:$I$11,3,FALSE)</f>
        <v>32999.9</v>
      </c>
      <c r="F7" s="301">
        <f>VLOOKUP($C7,'7'!$C$6:$I$11,4,FALSE)</f>
        <v>27836.410646047276</v>
      </c>
      <c r="G7" s="301">
        <f>VLOOKUP($C7,'7'!$C$6:$I$11,5,FALSE)</f>
        <v>32999.9</v>
      </c>
      <c r="H7" s="48">
        <f>VLOOKUP($C7,'7'!$C$6:$I$11,6,FALSE)</f>
        <v>0</v>
      </c>
      <c r="I7" s="48">
        <f>VLOOKUP($C7,'7'!$C$6:$I$11,7,FALSE)</f>
        <v>0</v>
      </c>
      <c r="J7" s="40"/>
      <c r="L7" s="341"/>
      <c r="M7" s="341"/>
      <c r="N7" s="341"/>
      <c r="O7" s="341"/>
    </row>
    <row r="8" spans="1:15" ht="17.25" customHeight="1">
      <c r="B8" s="41"/>
      <c r="C8" s="47" t="s">
        <v>417</v>
      </c>
      <c r="D8" s="301">
        <f>VLOOKUP($C8,'7'!$C$6:$I$11,2,FALSE)</f>
        <v>25808.350254886001</v>
      </c>
      <c r="E8" s="301">
        <f>VLOOKUP($C8,'7'!$C$6:$I$11,3,FALSE)</f>
        <v>27548.672871999999</v>
      </c>
      <c r="F8" s="301">
        <f>VLOOKUP($C8,'7'!$C$6:$I$11,4,FALSE)</f>
        <v>25808.350254886001</v>
      </c>
      <c r="G8" s="301">
        <f>VLOOKUP($C8,'7'!$C$6:$I$11,5,FALSE)</f>
        <v>27542.2228</v>
      </c>
      <c r="H8" s="48">
        <f>VLOOKUP($C8,'7'!$C$6:$I$11,6,FALSE)</f>
        <v>0</v>
      </c>
      <c r="I8" s="48">
        <f>VLOOKUP($C8,'7'!$C$6:$I$11,7,FALSE)</f>
        <v>-2.341336742415414E-2</v>
      </c>
      <c r="J8" s="40"/>
      <c r="L8" s="341"/>
      <c r="M8" s="341"/>
      <c r="N8" s="341"/>
      <c r="O8" s="341"/>
    </row>
    <row r="9" spans="1:15" ht="17.25" customHeight="1">
      <c r="B9" s="41"/>
      <c r="C9" s="46" t="s">
        <v>431</v>
      </c>
      <c r="D9" s="301">
        <f>VLOOKUP($C9,'7'!$C$6:$I$11,2,FALSE)</f>
        <v>12681.880969856998</v>
      </c>
      <c r="E9" s="301">
        <f>VLOOKUP($C9,'7'!$C$6:$I$11,3,FALSE)</f>
        <v>13273.456794502925</v>
      </c>
      <c r="F9" s="301">
        <f>VLOOKUP($C9,'7'!$C$6:$I$11,4,FALSE)</f>
        <v>12655.535969856997</v>
      </c>
      <c r="G9" s="301">
        <f>VLOOKUP($C9,'7'!$C$6:$I$11,5,FALSE)</f>
        <v>13273.456794502925</v>
      </c>
      <c r="H9" s="48">
        <f>VLOOKUP($C9,'7'!$C$6:$I$11,6,FALSE)</f>
        <v>-0.20773732274115669</v>
      </c>
      <c r="I9" s="48">
        <f>VLOOKUP($C9,'7'!$C$6:$I$11,7,FALSE)</f>
        <v>0</v>
      </c>
      <c r="J9" s="40"/>
      <c r="L9" s="341"/>
      <c r="M9" s="341"/>
      <c r="N9" s="341"/>
      <c r="O9" s="341"/>
    </row>
    <row r="10" spans="1:15" ht="17.25" customHeight="1">
      <c r="B10" s="41"/>
      <c r="C10" s="47" t="s">
        <v>432</v>
      </c>
      <c r="D10" s="301">
        <f>VLOOKUP($C10,'7'!$C$6:$I$11,2,FALSE)</f>
        <v>1448.1565923140352</v>
      </c>
      <c r="E10" s="301">
        <f>VLOOKUP($C10,'7'!$C$6:$I$11,3,FALSE)</f>
        <v>1525.19</v>
      </c>
      <c r="F10" s="301">
        <f>VLOOKUP($C10,'7'!$C$6:$I$11,4,FALSE)</f>
        <v>1424.4965609183848</v>
      </c>
      <c r="G10" s="301">
        <f>VLOOKUP($C10,'7'!$C$6:$I$11,5,FALSE)</f>
        <v>1523.73</v>
      </c>
      <c r="H10" s="48">
        <f>VLOOKUP($C10,'7'!$C$6:$I$11,6,FALSE)</f>
        <v>-1.6338033829507026</v>
      </c>
      <c r="I10" s="48">
        <f>VLOOKUP($C10,'7'!$C$6:$I$11,7,FALSE)</f>
        <v>-9.5725778427608127E-2</v>
      </c>
      <c r="J10" s="40"/>
      <c r="L10" s="341"/>
      <c r="M10" s="341"/>
      <c r="N10" s="341"/>
      <c r="O10" s="341"/>
    </row>
    <row r="11" spans="1:15" ht="17.25" customHeight="1">
      <c r="B11" s="41"/>
      <c r="C11" s="47" t="s">
        <v>433</v>
      </c>
      <c r="D11" s="301">
        <f>VLOOKUP($C11,'7'!$C$6:$I$11,2,FALSE)</f>
        <v>105556.3584631043</v>
      </c>
      <c r="E11" s="301">
        <f>VLOOKUP($C11,'7'!$C$6:$I$11,3,FALSE)</f>
        <v>114672.18666650292</v>
      </c>
      <c r="F11" s="301">
        <f>VLOOKUP($C11,'7'!$C$6:$I$11,4,FALSE)</f>
        <v>105085.66343170866</v>
      </c>
      <c r="G11" s="301">
        <f>VLOOKUP($C11,'7'!$C$6:$I$11,5,FALSE)</f>
        <v>114352.38859450292</v>
      </c>
      <c r="H11" s="48">
        <f>VLOOKUP($C11,'7'!$C$6:$I$11,6,FALSE)</f>
        <v>-0.44591821681701183</v>
      </c>
      <c r="I11" s="48">
        <f>VLOOKUP($C11,'7'!$C$6:$I$11,7,FALSE)</f>
        <v>-0.27888024227711161</v>
      </c>
      <c r="J11" s="40"/>
      <c r="L11" s="341"/>
      <c r="M11" s="341"/>
      <c r="N11" s="341"/>
      <c r="O11" s="341"/>
    </row>
    <row r="12" spans="1:15" ht="18.75" customHeight="1">
      <c r="B12" s="41"/>
      <c r="C12" s="47"/>
      <c r="D12" s="47"/>
      <c r="E12" s="47"/>
      <c r="F12" s="658"/>
      <c r="G12" s="47"/>
      <c r="H12" s="675"/>
      <c r="I12" s="48"/>
      <c r="J12" s="40"/>
    </row>
    <row r="13" spans="1:15" ht="18" customHeight="1">
      <c r="B13" s="41"/>
      <c r="C13" s="2009" t="s">
        <v>402</v>
      </c>
      <c r="D13" s="2011" t="s">
        <v>81</v>
      </c>
      <c r="E13" s="2011"/>
      <c r="F13" s="2011"/>
      <c r="G13" s="2012"/>
      <c r="H13" s="2013" t="s">
        <v>806</v>
      </c>
      <c r="I13" s="2013"/>
      <c r="J13" s="40"/>
    </row>
    <row r="14" spans="1:15" ht="18" customHeight="1">
      <c r="B14" s="41"/>
      <c r="C14" s="2010"/>
      <c r="D14" s="2015" t="s">
        <v>497</v>
      </c>
      <c r="E14" s="2015"/>
      <c r="F14" s="2015" t="s">
        <v>519</v>
      </c>
      <c r="G14" s="2015"/>
      <c r="H14" s="2014"/>
      <c r="I14" s="2014"/>
      <c r="J14" s="40"/>
    </row>
    <row r="15" spans="1:15" ht="18" customHeight="1">
      <c r="B15" s="41"/>
      <c r="C15" s="46"/>
      <c r="D15" s="847" t="str">
        <f>TEXT(LY," mmm-yyyy")</f>
        <v xml:space="preserve"> Jun-2020</v>
      </c>
      <c r="E15" s="847" t="str">
        <f>TEXT(TY," mmm-yyyy")</f>
        <v xml:space="preserve"> Jun-2021</v>
      </c>
      <c r="F15" s="847" t="str">
        <f>TEXT(LY," mmm-yyyy")</f>
        <v xml:space="preserve"> Jun-2020</v>
      </c>
      <c r="G15" s="847" t="str">
        <f>TEXT(TY," mmm-yyyy")</f>
        <v xml:space="preserve"> Jun-2021</v>
      </c>
      <c r="H15" s="847" t="str">
        <f>TEXT(LY," mmm-yyyy")</f>
        <v xml:space="preserve"> Jun-2020</v>
      </c>
      <c r="I15" s="847" t="str">
        <f>TEXT(TY," mmm-yyyy")</f>
        <v xml:space="preserve"> Jun-2021</v>
      </c>
      <c r="J15" s="40"/>
      <c r="M15" s="346"/>
    </row>
    <row r="16" spans="1:15" ht="18" customHeight="1">
      <c r="B16" s="41"/>
      <c r="C16" s="46" t="s">
        <v>429</v>
      </c>
      <c r="D16" s="643">
        <f>VLOOKUP($C16,'7'!$C$16:$I$21,2,FALSE)</f>
        <v>65336</v>
      </c>
      <c r="E16" s="643">
        <f>VLOOKUP($C16,'7'!$C$16:$I$21,3,FALSE)</f>
        <v>73116</v>
      </c>
      <c r="F16" s="643">
        <f>VLOOKUP($C16,'7'!$C$16:$I$21,4,FALSE)</f>
        <v>64885</v>
      </c>
      <c r="G16" s="643">
        <f>VLOOKUP($C16,'7'!$C$16:$I$21,5,FALSE)</f>
        <v>70691</v>
      </c>
      <c r="H16" s="644">
        <f>VLOOKUP($C16,'7'!$C$16:$I$21,6,FALSE)</f>
        <v>-0.69027794783886376</v>
      </c>
      <c r="I16" s="644">
        <f>VLOOKUP($C16,'7'!$C$16:$I$21,7,FALSE)</f>
        <v>-3.3166475190108868</v>
      </c>
      <c r="J16" s="40"/>
    </row>
    <row r="17" spans="1:13" ht="18" customHeight="1">
      <c r="B17" s="41"/>
      <c r="C17" s="46" t="s">
        <v>430</v>
      </c>
      <c r="D17" s="643">
        <f>VLOOKUP($C17,'7'!$C$16:$I$21,2,FALSE)</f>
        <v>47627</v>
      </c>
      <c r="E17" s="643">
        <f>VLOOKUP($C17,'7'!$C$16:$I$21,3,FALSE)</f>
        <v>52286</v>
      </c>
      <c r="F17" s="643">
        <f>VLOOKUP($C17,'7'!$C$16:$I$21,4,FALSE)</f>
        <v>47627</v>
      </c>
      <c r="G17" s="643">
        <f>VLOOKUP($C17,'7'!$C$16:$I$21,5,FALSE)</f>
        <v>52286</v>
      </c>
      <c r="H17" s="644">
        <f>VLOOKUP($C17,'7'!$C$16:$I$21,6,FALSE)</f>
        <v>0</v>
      </c>
      <c r="I17" s="644">
        <f>VLOOKUP($C17,'7'!$C$16:$I$21,7,FALSE)</f>
        <v>0</v>
      </c>
      <c r="J17" s="40"/>
      <c r="M17" s="346"/>
    </row>
    <row r="18" spans="1:13" ht="18" customHeight="1">
      <c r="A18" s="420">
        <v>43252</v>
      </c>
      <c r="B18" s="424"/>
      <c r="C18" s="47" t="s">
        <v>417</v>
      </c>
      <c r="D18" s="643">
        <f>VLOOKUP($C18,'7'!$C$16:$I$21,2,FALSE)</f>
        <v>43091.95</v>
      </c>
      <c r="E18" s="643">
        <f>VLOOKUP($C18,'7'!$C$16:$I$21,3,FALSE)</f>
        <v>51063.956190476209</v>
      </c>
      <c r="F18" s="643">
        <f>VLOOKUP($C18,'7'!$C$16:$I$21,4,FALSE)</f>
        <v>43043</v>
      </c>
      <c r="G18" s="643">
        <f>VLOOKUP($C18,'7'!$C$16:$I$21,5,FALSE)</f>
        <v>51046</v>
      </c>
      <c r="H18" s="644">
        <f>VLOOKUP($C18,'7'!$C$16:$I$21,6,FALSE)</f>
        <v>-0.11359430241610577</v>
      </c>
      <c r="I18" s="644">
        <f>VLOOKUP($C18,'7'!$C$16:$I$21,7,FALSE)</f>
        <v>-3.5164119304092488E-2</v>
      </c>
      <c r="J18" s="425"/>
    </row>
    <row r="19" spans="1:13" ht="18" customHeight="1">
      <c r="B19" s="41"/>
      <c r="C19" s="46" t="s">
        <v>431</v>
      </c>
      <c r="D19" s="643">
        <f>VLOOKUP($C19,'7'!$C$16:$I$21,2,FALSE)</f>
        <v>21988.633577495995</v>
      </c>
      <c r="E19" s="643">
        <f>VLOOKUP($C19,'7'!$C$16:$I$21,3,FALSE)</f>
        <v>23800.388349514564</v>
      </c>
      <c r="F19" s="643">
        <f>VLOOKUP($C19,'7'!$C$16:$I$21,4,FALSE)</f>
        <v>21832.170739063298</v>
      </c>
      <c r="G19" s="643">
        <f>VLOOKUP($C19,'7'!$C$16:$I$21,5,FALSE)</f>
        <v>23800.388349514564</v>
      </c>
      <c r="H19" s="644">
        <f>VLOOKUP($C19,'7'!$C$16:$I$21,6,FALSE)</f>
        <v>-0.71156235280043523</v>
      </c>
      <c r="I19" s="644">
        <f>VLOOKUP($C19,'7'!$C$16:$I$21,7,FALSE)</f>
        <v>0</v>
      </c>
      <c r="J19" s="40"/>
    </row>
    <row r="20" spans="1:13" ht="18" customHeight="1">
      <c r="B20" s="41"/>
      <c r="C20" s="47" t="s">
        <v>432</v>
      </c>
      <c r="D20" s="643">
        <f>VLOOKUP($C20,'7'!$C$16:$I$21,2,FALSE)</f>
        <v>2940.4609999999998</v>
      </c>
      <c r="E20" s="643">
        <f>VLOOKUP($C20,'7'!$C$16:$I$21,3,FALSE)</f>
        <v>3060</v>
      </c>
      <c r="F20" s="643">
        <f>VLOOKUP($C20,'7'!$C$16:$I$21,4,FALSE)</f>
        <v>2884</v>
      </c>
      <c r="G20" s="643">
        <f>VLOOKUP($C20,'7'!$C$16:$I$21,5,FALSE)</f>
        <v>3053</v>
      </c>
      <c r="H20" s="644">
        <f>VLOOKUP($C20,'7'!$C$16:$I$21,6,FALSE)</f>
        <v>-1.920141093522403</v>
      </c>
      <c r="I20" s="644">
        <f>VLOOKUP($C20,'7'!$C$16:$I$21,7,FALSE)</f>
        <v>-0.22875816993464052</v>
      </c>
      <c r="J20" s="40"/>
    </row>
    <row r="21" spans="1:13" ht="18" customHeight="1">
      <c r="B21" s="41"/>
      <c r="C21" s="47" t="s">
        <v>433</v>
      </c>
      <c r="D21" s="643">
        <f>VLOOKUP($C21,'7'!$C$16:$I$21,2,FALSE)</f>
        <v>166686.36490351561</v>
      </c>
      <c r="E21" s="643">
        <f>VLOOKUP($C21,'7'!$C$16:$I$21,3,FALSE)</f>
        <v>193849.7693441126</v>
      </c>
      <c r="F21" s="643">
        <f>VLOOKUP($C21,'7'!$C$16:$I$21,4,FALSE)</f>
        <v>164981.61694335937</v>
      </c>
      <c r="G21" s="643">
        <f>VLOOKUP($C21,'7'!$C$16:$I$21,5,FALSE)</f>
        <v>191514</v>
      </c>
      <c r="H21" s="644">
        <f>VLOOKUP($C21,'7'!$C$16:$I$21,6,FALSE)</f>
        <v>-1.0227279004752488</v>
      </c>
      <c r="I21" s="644">
        <f>VLOOKUP($C21,'7'!$C$16:$I$21,7,FALSE)</f>
        <v>-1.2049379021783926</v>
      </c>
      <c r="J21" s="40"/>
    </row>
    <row r="22" spans="1:13">
      <c r="B22" s="41"/>
      <c r="C22" s="439"/>
      <c r="D22" s="439"/>
      <c r="E22" s="439"/>
      <c r="F22" s="658"/>
      <c r="G22" s="439"/>
      <c r="H22" s="659"/>
      <c r="I22" s="659"/>
      <c r="J22" s="40"/>
    </row>
    <row r="23" spans="1:13" ht="18">
      <c r="B23" s="676" t="s">
        <v>883</v>
      </c>
      <c r="C23" s="32" t="str">
        <f>TEXT(TY," mmm-yyyy") &amp; " Figures are Provisional"</f>
        <v xml:space="preserve"> Jun-2021 Figures are Provisional</v>
      </c>
      <c r="D23" s="3"/>
      <c r="E23" s="3"/>
      <c r="F23" s="49"/>
      <c r="G23" s="3"/>
      <c r="H23" s="50"/>
      <c r="I23" s="50"/>
      <c r="J23" s="40"/>
    </row>
    <row r="24" spans="1:13">
      <c r="B24" s="41"/>
      <c r="C24" s="3"/>
      <c r="D24" s="3"/>
      <c r="E24" s="3"/>
      <c r="F24" s="49"/>
      <c r="G24" s="3"/>
      <c r="H24" s="50"/>
      <c r="I24" s="50"/>
      <c r="J24" s="40"/>
    </row>
    <row r="25" spans="1:13" ht="13.5" thickBot="1">
      <c r="B25" s="42"/>
      <c r="C25" s="51"/>
      <c r="D25" s="51"/>
      <c r="E25" s="51"/>
      <c r="F25" s="52"/>
      <c r="G25" s="51"/>
      <c r="H25" s="53"/>
      <c r="I25" s="53"/>
      <c r="J25" s="102"/>
    </row>
    <row r="39" spans="2:10" ht="15.75">
      <c r="B39" s="54"/>
      <c r="C39" s="610"/>
      <c r="D39" s="610"/>
      <c r="E39" s="610"/>
      <c r="F39" s="6"/>
      <c r="G39" s="6"/>
      <c r="H39" s="6"/>
      <c r="I39" s="6"/>
      <c r="J39" s="6"/>
    </row>
    <row r="40" spans="2:10">
      <c r="B40" s="611"/>
      <c r="C40" s="32"/>
      <c r="D40" s="3"/>
      <c r="E40" s="32"/>
      <c r="F40" s="32"/>
      <c r="G40" s="2008"/>
      <c r="H40" s="2005"/>
      <c r="I40" s="50"/>
    </row>
    <row r="41" spans="2:10">
      <c r="B41" s="3"/>
      <c r="C41" s="2005"/>
      <c r="D41" s="2006"/>
      <c r="E41" s="2005"/>
      <c r="F41" s="2005"/>
      <c r="G41" s="2007"/>
      <c r="H41" s="2005"/>
      <c r="I41" s="50"/>
    </row>
    <row r="42" spans="2:10">
      <c r="B42" s="3"/>
      <c r="C42" s="3"/>
      <c r="D42" s="3"/>
      <c r="E42" s="3"/>
      <c r="F42" s="3"/>
      <c r="G42" s="3"/>
      <c r="H42" s="50"/>
      <c r="I42" s="50"/>
    </row>
    <row r="43" spans="2:10">
      <c r="B43" s="32"/>
      <c r="C43" s="32"/>
      <c r="D43" s="3"/>
      <c r="E43" s="32"/>
      <c r="F43" s="32"/>
      <c r="G43" s="2008"/>
      <c r="H43" s="2005"/>
      <c r="I43" s="50"/>
    </row>
    <row r="44" spans="2:10">
      <c r="B44" s="3"/>
      <c r="C44" s="2005"/>
      <c r="D44" s="2006"/>
      <c r="E44" s="2005"/>
      <c r="F44" s="2005"/>
      <c r="G44" s="2007"/>
      <c r="H44" s="2005"/>
      <c r="I44" s="50"/>
    </row>
    <row r="45" spans="2:10">
      <c r="B45" s="3"/>
      <c r="C45" s="3"/>
      <c r="D45" s="3"/>
      <c r="E45" s="3"/>
      <c r="F45" s="3"/>
      <c r="G45" s="3"/>
      <c r="H45" s="50"/>
      <c r="I45" s="50"/>
    </row>
    <row r="46" spans="2:10">
      <c r="B46" s="3"/>
      <c r="C46" s="3"/>
      <c r="D46" s="3"/>
      <c r="E46" s="3"/>
      <c r="F46" s="3"/>
      <c r="G46" s="3"/>
      <c r="H46" s="50"/>
      <c r="I46" s="50"/>
    </row>
    <row r="47" spans="2:10" ht="15.75">
      <c r="B47" s="55"/>
      <c r="C47" s="3"/>
      <c r="D47" s="3"/>
      <c r="E47" s="3"/>
      <c r="F47" s="3"/>
      <c r="G47" s="3"/>
      <c r="H47" s="50"/>
      <c r="I47" s="50"/>
    </row>
    <row r="48" spans="2:10">
      <c r="B48" s="3"/>
      <c r="C48" s="3"/>
      <c r="D48" s="3"/>
      <c r="E48" s="3"/>
      <c r="F48" s="3"/>
      <c r="G48" s="3"/>
      <c r="H48" s="50"/>
      <c r="I48" s="50"/>
    </row>
    <row r="49" spans="2:9">
      <c r="B49" s="3"/>
      <c r="C49" s="609"/>
      <c r="D49" s="609"/>
      <c r="E49" s="3"/>
      <c r="F49" s="3"/>
      <c r="G49" s="3"/>
      <c r="H49" s="50"/>
      <c r="I49" s="50"/>
    </row>
    <row r="50" spans="2:9">
      <c r="B50" s="3"/>
      <c r="C50" s="3"/>
      <c r="D50" s="3"/>
      <c r="E50" s="3"/>
      <c r="F50" s="3"/>
      <c r="G50" s="3"/>
      <c r="H50" s="50"/>
      <c r="I50" s="50"/>
    </row>
    <row r="51" spans="2:9">
      <c r="C51" s="56"/>
      <c r="D51" s="3"/>
      <c r="E51" s="3"/>
      <c r="F51" s="3"/>
    </row>
    <row r="52" spans="2:9">
      <c r="F52" s="5"/>
    </row>
  </sheetData>
  <mergeCells count="19">
    <mergeCell ref="G40:H40"/>
    <mergeCell ref="B1:J1"/>
    <mergeCell ref="C3:C4"/>
    <mergeCell ref="D3:G3"/>
    <mergeCell ref="H3:I4"/>
    <mergeCell ref="D4:E4"/>
    <mergeCell ref="F4:G4"/>
    <mergeCell ref="C13:C14"/>
    <mergeCell ref="D13:G13"/>
    <mergeCell ref="H13:I14"/>
    <mergeCell ref="D14:E14"/>
    <mergeCell ref="F14:G14"/>
    <mergeCell ref="C41:D41"/>
    <mergeCell ref="E41:F41"/>
    <mergeCell ref="G41:H41"/>
    <mergeCell ref="G43:H43"/>
    <mergeCell ref="C44:D44"/>
    <mergeCell ref="E44:F44"/>
    <mergeCell ref="G44:H44"/>
  </mergeCells>
  <printOptions horizontalCentered="1" verticalCentered="1"/>
  <pageMargins left="0.75" right="0.75" top="1" bottom="1" header="0.5" footer="0.5"/>
  <pageSetup paperSize="9" scale="93"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5" tint="-0.249977111117893"/>
  </sheetPr>
  <dimension ref="A2:T51"/>
  <sheetViews>
    <sheetView view="pageBreakPreview" topLeftCell="A47" zoomScale="85" zoomScaleNormal="100" zoomScaleSheetLayoutView="85" workbookViewId="0">
      <selection activeCell="I20" sqref="I20"/>
    </sheetView>
  </sheetViews>
  <sheetFormatPr defaultRowHeight="12.75"/>
  <cols>
    <col min="1" max="1" width="10.85546875" customWidth="1"/>
    <col min="17" max="18" width="10.28515625" customWidth="1"/>
  </cols>
  <sheetData>
    <row r="2" spans="1:20">
      <c r="A2" s="2016" t="s">
        <v>1025</v>
      </c>
      <c r="B2" s="2016" t="s">
        <v>1005</v>
      </c>
      <c r="C2" s="2019" t="s">
        <v>1026</v>
      </c>
      <c r="D2" s="2022" t="s">
        <v>1006</v>
      </c>
      <c r="E2" s="2023"/>
      <c r="F2" s="2023"/>
      <c r="G2" s="2023"/>
      <c r="H2" s="2023"/>
      <c r="I2" s="2023"/>
      <c r="J2" s="2023"/>
      <c r="K2" s="2023"/>
      <c r="L2" s="2023"/>
      <c r="M2" s="2024"/>
      <c r="N2" s="2022" t="s">
        <v>1007</v>
      </c>
      <c r="O2" s="2023"/>
      <c r="P2" s="2023"/>
      <c r="Q2" s="2023"/>
      <c r="R2" s="2023"/>
      <c r="S2" s="2024"/>
      <c r="T2" s="809"/>
    </row>
    <row r="3" spans="1:20">
      <c r="A3" s="2017"/>
      <c r="B3" s="2017"/>
      <c r="C3" s="2020"/>
      <c r="D3" s="2022" t="s">
        <v>1023</v>
      </c>
      <c r="E3" s="2023"/>
      <c r="F3" s="2023"/>
      <c r="G3" s="2023"/>
      <c r="H3" s="2024"/>
      <c r="I3" s="2025" t="s">
        <v>1024</v>
      </c>
      <c r="J3" s="2026"/>
      <c r="K3" s="2026"/>
      <c r="L3" s="2026"/>
      <c r="M3" s="2027"/>
      <c r="N3" s="2022" t="s">
        <v>1023</v>
      </c>
      <c r="O3" s="2023"/>
      <c r="P3" s="2024"/>
      <c r="Q3" s="2028" t="s">
        <v>1024</v>
      </c>
      <c r="R3" s="2029"/>
      <c r="S3" s="2030"/>
      <c r="T3" s="809"/>
    </row>
    <row r="4" spans="1:20" ht="45">
      <c r="A4" s="2017"/>
      <c r="B4" s="2018"/>
      <c r="C4" s="2021"/>
      <c r="D4" s="826" t="s">
        <v>1008</v>
      </c>
      <c r="E4" s="822" t="s">
        <v>1009</v>
      </c>
      <c r="F4" s="823" t="s">
        <v>1027</v>
      </c>
      <c r="G4" s="824" t="s">
        <v>1010</v>
      </c>
      <c r="H4" s="824" t="s">
        <v>1011</v>
      </c>
      <c r="I4" s="822" t="s">
        <v>1008</v>
      </c>
      <c r="J4" s="822" t="s">
        <v>1009</v>
      </c>
      <c r="K4" s="823" t="s">
        <v>1028</v>
      </c>
      <c r="L4" s="825" t="s">
        <v>1012</v>
      </c>
      <c r="M4" s="824" t="s">
        <v>1013</v>
      </c>
      <c r="N4" s="826" t="s">
        <v>1008</v>
      </c>
      <c r="O4" s="822" t="s">
        <v>1009</v>
      </c>
      <c r="P4" s="823" t="s">
        <v>1027</v>
      </c>
      <c r="Q4" s="836" t="s">
        <v>1008</v>
      </c>
      <c r="R4" s="837" t="s">
        <v>1009</v>
      </c>
      <c r="S4" s="823" t="s">
        <v>1028</v>
      </c>
      <c r="T4" s="809"/>
    </row>
    <row r="5" spans="1:20">
      <c r="A5" s="2018"/>
      <c r="B5" s="827">
        <v>1</v>
      </c>
      <c r="C5" s="827">
        <v>2</v>
      </c>
      <c r="D5" s="827">
        <v>3</v>
      </c>
      <c r="E5" s="827">
        <v>4</v>
      </c>
      <c r="F5" s="827">
        <v>5</v>
      </c>
      <c r="G5" s="827">
        <v>6</v>
      </c>
      <c r="H5" s="827">
        <v>7</v>
      </c>
      <c r="I5" s="827">
        <v>8</v>
      </c>
      <c r="J5" s="827">
        <v>9</v>
      </c>
      <c r="K5" s="827">
        <v>10</v>
      </c>
      <c r="L5" s="827">
        <v>11</v>
      </c>
      <c r="M5" s="827">
        <v>12</v>
      </c>
      <c r="N5" s="827">
        <v>13</v>
      </c>
      <c r="O5" s="827">
        <v>14</v>
      </c>
      <c r="P5" s="827">
        <v>15</v>
      </c>
      <c r="Q5" s="827">
        <v>16</v>
      </c>
      <c r="R5" s="827">
        <v>17</v>
      </c>
      <c r="S5" s="827">
        <v>18</v>
      </c>
      <c r="T5" s="809"/>
    </row>
    <row r="6" spans="1:20">
      <c r="A6" s="2035" t="s">
        <v>951</v>
      </c>
      <c r="B6" s="2036"/>
      <c r="C6" s="2036"/>
      <c r="D6" s="2036"/>
      <c r="E6" s="2036"/>
      <c r="F6" s="2036"/>
      <c r="G6" s="2036"/>
      <c r="H6" s="2036"/>
      <c r="I6" s="2036"/>
      <c r="J6" s="2036"/>
      <c r="K6" s="2036"/>
      <c r="L6" s="2036"/>
      <c r="M6" s="2036"/>
      <c r="N6" s="2036"/>
      <c r="O6" s="2036"/>
      <c r="P6" s="2036"/>
      <c r="Q6" s="2036"/>
      <c r="R6" s="2036"/>
      <c r="S6" s="2037"/>
      <c r="T6" s="809"/>
    </row>
    <row r="7" spans="1:20">
      <c r="A7" s="2031" t="s">
        <v>952</v>
      </c>
      <c r="B7" s="2032"/>
      <c r="C7" s="2032"/>
      <c r="D7" s="2032"/>
      <c r="E7" s="2032"/>
      <c r="F7" s="2032"/>
      <c r="G7" s="2032"/>
      <c r="H7" s="2032"/>
      <c r="I7" s="2032"/>
      <c r="J7" s="2032"/>
      <c r="K7" s="2032"/>
      <c r="L7" s="2032"/>
      <c r="M7" s="2032"/>
      <c r="N7" s="2032"/>
      <c r="O7" s="2032"/>
      <c r="P7" s="2032"/>
      <c r="Q7" s="2032"/>
      <c r="R7" s="2032"/>
      <c r="S7" s="2033"/>
      <c r="T7" s="809"/>
    </row>
    <row r="8" spans="1:20">
      <c r="A8" s="833" t="s">
        <v>953</v>
      </c>
      <c r="B8" s="596">
        <v>1500</v>
      </c>
      <c r="C8" s="596">
        <v>7500</v>
      </c>
      <c r="D8" s="596">
        <v>609</v>
      </c>
      <c r="E8" s="596">
        <v>163.55000000000001</v>
      </c>
      <c r="F8" s="596">
        <v>566.22</v>
      </c>
      <c r="G8" s="596">
        <v>26.86</v>
      </c>
      <c r="H8" s="596">
        <v>28.88</v>
      </c>
      <c r="I8" s="596">
        <v>609</v>
      </c>
      <c r="J8" s="596">
        <v>163.55000000000001</v>
      </c>
      <c r="K8" s="596">
        <v>566.22</v>
      </c>
      <c r="L8" s="596">
        <v>26.86</v>
      </c>
      <c r="M8" s="596">
        <v>28.88</v>
      </c>
      <c r="N8" s="596">
        <v>56.39</v>
      </c>
      <c r="O8" s="596">
        <v>15.14</v>
      </c>
      <c r="P8" s="596">
        <v>52.43</v>
      </c>
      <c r="Q8" s="596">
        <v>56.39</v>
      </c>
      <c r="R8" s="596">
        <v>15.14</v>
      </c>
      <c r="S8" s="810">
        <v>52.43</v>
      </c>
      <c r="T8" s="809"/>
    </row>
    <row r="9" spans="1:20">
      <c r="A9" s="833" t="s">
        <v>954</v>
      </c>
      <c r="B9" s="596">
        <v>750</v>
      </c>
      <c r="C9" s="596">
        <v>3600</v>
      </c>
      <c r="D9" s="596">
        <v>266</v>
      </c>
      <c r="E9" s="596">
        <v>400.64</v>
      </c>
      <c r="F9" s="596">
        <v>126.84</v>
      </c>
      <c r="G9" s="596">
        <v>150.62</v>
      </c>
      <c r="H9" s="596">
        <v>315.86</v>
      </c>
      <c r="I9" s="596">
        <v>266</v>
      </c>
      <c r="J9" s="596">
        <v>400.64</v>
      </c>
      <c r="K9" s="596">
        <v>126.84</v>
      </c>
      <c r="L9" s="596">
        <v>150.62</v>
      </c>
      <c r="M9" s="596">
        <v>315.86</v>
      </c>
      <c r="N9" s="596">
        <v>49.26</v>
      </c>
      <c r="O9" s="596">
        <v>74.19</v>
      </c>
      <c r="P9" s="596">
        <v>35.229999999999997</v>
      </c>
      <c r="Q9" s="596">
        <v>49.26</v>
      </c>
      <c r="R9" s="596">
        <v>74.19</v>
      </c>
      <c r="S9" s="810">
        <v>35.229999999999997</v>
      </c>
      <c r="T9" s="809"/>
    </row>
    <row r="10" spans="1:20">
      <c r="A10" s="833" t="s">
        <v>955</v>
      </c>
      <c r="B10" s="596">
        <v>7090</v>
      </c>
      <c r="C10" s="596">
        <v>37476</v>
      </c>
      <c r="D10" s="596">
        <v>3431</v>
      </c>
      <c r="E10" s="596">
        <v>3633.53</v>
      </c>
      <c r="F10" s="596">
        <v>3653.15</v>
      </c>
      <c r="G10" s="596">
        <v>105.9</v>
      </c>
      <c r="H10" s="596">
        <v>99.46</v>
      </c>
      <c r="I10" s="596">
        <v>3431</v>
      </c>
      <c r="J10" s="596">
        <v>3633.53</v>
      </c>
      <c r="K10" s="596">
        <v>3653.15</v>
      </c>
      <c r="L10" s="596">
        <v>105.9</v>
      </c>
      <c r="M10" s="596">
        <v>99.46</v>
      </c>
      <c r="N10" s="596">
        <v>67.209999999999994</v>
      </c>
      <c r="O10" s="596">
        <v>71.180000000000007</v>
      </c>
      <c r="P10" s="596">
        <v>71.56</v>
      </c>
      <c r="Q10" s="596">
        <v>67.209999999999994</v>
      </c>
      <c r="R10" s="596">
        <v>71.180000000000007</v>
      </c>
      <c r="S10" s="810">
        <v>71.56</v>
      </c>
      <c r="T10" s="809"/>
    </row>
    <row r="11" spans="1:20">
      <c r="A11" s="833" t="s">
        <v>956</v>
      </c>
      <c r="B11" s="596">
        <v>610</v>
      </c>
      <c r="C11" s="596">
        <v>3025</v>
      </c>
      <c r="D11" s="596">
        <v>258</v>
      </c>
      <c r="E11" s="596">
        <v>323.04000000000002</v>
      </c>
      <c r="F11" s="596">
        <v>226.34</v>
      </c>
      <c r="G11" s="596">
        <v>125.21</v>
      </c>
      <c r="H11" s="596">
        <v>142.72</v>
      </c>
      <c r="I11" s="596">
        <v>258</v>
      </c>
      <c r="J11" s="596">
        <v>323.04000000000002</v>
      </c>
      <c r="K11" s="596">
        <v>226.34</v>
      </c>
      <c r="L11" s="596">
        <v>125.21</v>
      </c>
      <c r="M11" s="596">
        <v>142.72</v>
      </c>
      <c r="N11" s="596">
        <v>58.74</v>
      </c>
      <c r="O11" s="596">
        <v>73.55</v>
      </c>
      <c r="P11" s="596">
        <v>51.53</v>
      </c>
      <c r="Q11" s="596">
        <v>58.74</v>
      </c>
      <c r="R11" s="596">
        <v>73.55</v>
      </c>
      <c r="S11" s="810">
        <v>51.53</v>
      </c>
      <c r="T11" s="809"/>
    </row>
    <row r="12" spans="1:20">
      <c r="A12" s="833" t="s">
        <v>957</v>
      </c>
      <c r="B12" s="596">
        <v>660</v>
      </c>
      <c r="C12" s="596">
        <v>3000</v>
      </c>
      <c r="D12" s="596">
        <v>205</v>
      </c>
      <c r="E12" s="596">
        <v>101.62</v>
      </c>
      <c r="F12" s="596">
        <v>0</v>
      </c>
      <c r="G12" s="596">
        <v>49.57</v>
      </c>
      <c r="H12" s="596">
        <v>0</v>
      </c>
      <c r="I12" s="596">
        <v>205</v>
      </c>
      <c r="J12" s="596">
        <v>101.62</v>
      </c>
      <c r="K12" s="596">
        <v>0</v>
      </c>
      <c r="L12" s="596">
        <v>49.57</v>
      </c>
      <c r="M12" s="596">
        <v>0</v>
      </c>
      <c r="N12" s="596">
        <v>43.14</v>
      </c>
      <c r="O12" s="811"/>
      <c r="P12" s="811"/>
      <c r="Q12" s="596">
        <v>43.14</v>
      </c>
      <c r="R12" s="811"/>
      <c r="S12" s="812"/>
      <c r="T12" s="809"/>
    </row>
    <row r="13" spans="1:20">
      <c r="A13" s="833" t="s">
        <v>958</v>
      </c>
      <c r="B13" s="596">
        <v>527</v>
      </c>
      <c r="C13" s="596">
        <v>2828</v>
      </c>
      <c r="D13" s="596">
        <v>244</v>
      </c>
      <c r="E13" s="596">
        <v>242.93</v>
      </c>
      <c r="F13" s="596">
        <v>194.94</v>
      </c>
      <c r="G13" s="596">
        <v>99.56</v>
      </c>
      <c r="H13" s="596">
        <v>124.62</v>
      </c>
      <c r="I13" s="596">
        <v>244</v>
      </c>
      <c r="J13" s="596">
        <v>242.93</v>
      </c>
      <c r="K13" s="596">
        <v>194.94</v>
      </c>
      <c r="L13" s="596">
        <v>99.56</v>
      </c>
      <c r="M13" s="596">
        <v>124.62</v>
      </c>
      <c r="N13" s="811"/>
      <c r="O13" s="811"/>
      <c r="P13" s="811"/>
      <c r="Q13" s="811"/>
      <c r="R13" s="811"/>
      <c r="S13" s="812"/>
      <c r="T13" s="809"/>
    </row>
    <row r="14" spans="1:20">
      <c r="A14" s="833" t="s">
        <v>959</v>
      </c>
      <c r="B14" s="596">
        <v>3140</v>
      </c>
      <c r="C14" s="596">
        <v>20030</v>
      </c>
      <c r="D14" s="596">
        <v>1857</v>
      </c>
      <c r="E14" s="596">
        <v>1757.83</v>
      </c>
      <c r="F14" s="596">
        <v>1674.49</v>
      </c>
      <c r="G14" s="596">
        <v>94.66</v>
      </c>
      <c r="H14" s="596">
        <v>104.98</v>
      </c>
      <c r="I14" s="596">
        <v>1857</v>
      </c>
      <c r="J14" s="596">
        <v>1757.83</v>
      </c>
      <c r="K14" s="596">
        <v>1674.49</v>
      </c>
      <c r="L14" s="596">
        <v>94.66</v>
      </c>
      <c r="M14" s="596">
        <v>104.98</v>
      </c>
      <c r="N14" s="596">
        <v>70.86</v>
      </c>
      <c r="O14" s="596">
        <v>77.75</v>
      </c>
      <c r="P14" s="596">
        <v>70.010000000000005</v>
      </c>
      <c r="Q14" s="596">
        <v>70.86</v>
      </c>
      <c r="R14" s="596">
        <v>77.75</v>
      </c>
      <c r="S14" s="810">
        <v>70.010000000000005</v>
      </c>
      <c r="T14" s="809"/>
    </row>
    <row r="15" spans="1:20">
      <c r="A15" s="833" t="s">
        <v>960</v>
      </c>
      <c r="B15" s="596">
        <v>0</v>
      </c>
      <c r="C15" s="596">
        <v>3000</v>
      </c>
      <c r="D15" s="596">
        <v>205</v>
      </c>
      <c r="E15" s="596">
        <v>0</v>
      </c>
      <c r="F15" s="596">
        <v>0</v>
      </c>
      <c r="G15" s="596">
        <v>0</v>
      </c>
      <c r="H15" s="596">
        <v>0</v>
      </c>
      <c r="I15" s="596">
        <v>205</v>
      </c>
      <c r="J15" s="596">
        <v>0</v>
      </c>
      <c r="K15" s="596">
        <v>0</v>
      </c>
      <c r="L15" s="596">
        <v>0</v>
      </c>
      <c r="M15" s="596">
        <v>0</v>
      </c>
      <c r="N15" s="596">
        <v>43.14</v>
      </c>
      <c r="O15" s="811"/>
      <c r="P15" s="811"/>
      <c r="Q15" s="596">
        <v>43.14</v>
      </c>
      <c r="R15" s="811"/>
      <c r="S15" s="812"/>
      <c r="T15" s="809"/>
    </row>
    <row r="16" spans="1:20">
      <c r="A16" s="833" t="s">
        <v>961</v>
      </c>
      <c r="B16" s="596">
        <v>500</v>
      </c>
      <c r="C16" s="596">
        <v>3600</v>
      </c>
      <c r="D16" s="596">
        <v>306</v>
      </c>
      <c r="E16" s="596">
        <v>235.7</v>
      </c>
      <c r="F16" s="596">
        <v>200.68</v>
      </c>
      <c r="G16" s="596">
        <v>77.03</v>
      </c>
      <c r="H16" s="596">
        <v>117.45</v>
      </c>
      <c r="I16" s="596">
        <v>306</v>
      </c>
      <c r="J16" s="596">
        <v>235.7</v>
      </c>
      <c r="K16" s="596">
        <v>200.68</v>
      </c>
      <c r="L16" s="596">
        <v>77.03</v>
      </c>
      <c r="M16" s="596">
        <v>117.45</v>
      </c>
      <c r="N16" s="596">
        <v>85</v>
      </c>
      <c r="O16" s="596">
        <v>65.47</v>
      </c>
      <c r="P16" s="596">
        <v>55.74</v>
      </c>
      <c r="Q16" s="596">
        <v>85</v>
      </c>
      <c r="R16" s="596">
        <v>65.47</v>
      </c>
      <c r="S16" s="810">
        <v>55.74</v>
      </c>
      <c r="T16" s="809"/>
    </row>
    <row r="17" spans="1:20">
      <c r="A17" s="833" t="s">
        <v>962</v>
      </c>
      <c r="B17" s="596">
        <v>1500</v>
      </c>
      <c r="C17" s="596">
        <v>8000</v>
      </c>
      <c r="D17" s="596">
        <v>763</v>
      </c>
      <c r="E17" s="596">
        <v>624.70000000000005</v>
      </c>
      <c r="F17" s="596">
        <v>927.84</v>
      </c>
      <c r="G17" s="596">
        <v>81.87</v>
      </c>
      <c r="H17" s="596">
        <v>67.33</v>
      </c>
      <c r="I17" s="596">
        <v>763</v>
      </c>
      <c r="J17" s="596">
        <v>624.70000000000005</v>
      </c>
      <c r="K17" s="596">
        <v>927.84</v>
      </c>
      <c r="L17" s="596">
        <v>81.87</v>
      </c>
      <c r="M17" s="596">
        <v>67.33</v>
      </c>
      <c r="N17" s="596">
        <v>70.650000000000006</v>
      </c>
      <c r="O17" s="596">
        <v>57.84</v>
      </c>
      <c r="P17" s="596">
        <v>85.91</v>
      </c>
      <c r="Q17" s="596">
        <v>70.650000000000006</v>
      </c>
      <c r="R17" s="596">
        <v>57.84</v>
      </c>
      <c r="S17" s="810">
        <v>85.91</v>
      </c>
      <c r="T17" s="809"/>
    </row>
    <row r="18" spans="1:20">
      <c r="A18" s="833" t="s">
        <v>963</v>
      </c>
      <c r="B18" s="596">
        <v>46087.23</v>
      </c>
      <c r="C18" s="596">
        <v>267928</v>
      </c>
      <c r="D18" s="596">
        <v>22286</v>
      </c>
      <c r="E18" s="596">
        <v>22784.29</v>
      </c>
      <c r="F18" s="596">
        <v>22932.45</v>
      </c>
      <c r="G18" s="596">
        <v>102.24</v>
      </c>
      <c r="H18" s="596">
        <v>99.35</v>
      </c>
      <c r="I18" s="596">
        <v>22286</v>
      </c>
      <c r="J18" s="596">
        <v>22784.29</v>
      </c>
      <c r="K18" s="596">
        <v>22932.45</v>
      </c>
      <c r="L18" s="596">
        <v>102.24</v>
      </c>
      <c r="M18" s="596">
        <v>99.35</v>
      </c>
      <c r="N18" s="596">
        <v>71.41</v>
      </c>
      <c r="O18" s="596">
        <v>79.11</v>
      </c>
      <c r="P18" s="596">
        <v>79.819999999999993</v>
      </c>
      <c r="Q18" s="596">
        <v>71.41</v>
      </c>
      <c r="R18" s="596">
        <v>79.11</v>
      </c>
      <c r="S18" s="810">
        <v>79.819999999999993</v>
      </c>
      <c r="T18" s="809"/>
    </row>
    <row r="19" spans="1:20">
      <c r="A19" s="833" t="s">
        <v>964</v>
      </c>
      <c r="B19" s="596">
        <v>1000</v>
      </c>
      <c r="C19" s="596">
        <v>6200</v>
      </c>
      <c r="D19" s="596">
        <v>586</v>
      </c>
      <c r="E19" s="596">
        <v>264.13</v>
      </c>
      <c r="F19" s="596">
        <v>463.86</v>
      </c>
      <c r="G19" s="596">
        <v>45.07</v>
      </c>
      <c r="H19" s="596">
        <v>56.94</v>
      </c>
      <c r="I19" s="596">
        <v>586</v>
      </c>
      <c r="J19" s="596">
        <v>264.13</v>
      </c>
      <c r="K19" s="596">
        <v>463.86</v>
      </c>
      <c r="L19" s="596">
        <v>45.07</v>
      </c>
      <c r="M19" s="596">
        <v>56.94</v>
      </c>
      <c r="N19" s="596">
        <v>81.39</v>
      </c>
      <c r="O19" s="596">
        <v>36.68</v>
      </c>
      <c r="P19" s="596">
        <v>64.430000000000007</v>
      </c>
      <c r="Q19" s="596">
        <v>81.39</v>
      </c>
      <c r="R19" s="596">
        <v>36.68</v>
      </c>
      <c r="S19" s="810">
        <v>64.430000000000007</v>
      </c>
      <c r="T19" s="809"/>
    </row>
    <row r="20" spans="1:20">
      <c r="A20" s="833" t="s">
        <v>965</v>
      </c>
      <c r="B20" s="596">
        <v>726.6</v>
      </c>
      <c r="C20" s="596">
        <v>4759</v>
      </c>
      <c r="D20" s="596">
        <v>391</v>
      </c>
      <c r="E20" s="596">
        <v>408.51</v>
      </c>
      <c r="F20" s="596">
        <v>361.05</v>
      </c>
      <c r="G20" s="596">
        <v>104.48</v>
      </c>
      <c r="H20" s="596">
        <v>113.14</v>
      </c>
      <c r="I20" s="596">
        <v>391</v>
      </c>
      <c r="J20" s="596">
        <v>408.51</v>
      </c>
      <c r="K20" s="596">
        <v>361.05</v>
      </c>
      <c r="L20" s="596">
        <v>104.48</v>
      </c>
      <c r="M20" s="596">
        <v>113.14</v>
      </c>
      <c r="N20" s="811"/>
      <c r="O20" s="811"/>
      <c r="P20" s="811"/>
      <c r="Q20" s="811"/>
      <c r="R20" s="811"/>
      <c r="S20" s="812"/>
      <c r="T20" s="809"/>
    </row>
    <row r="21" spans="1:20">
      <c r="A21" s="833" t="s">
        <v>966</v>
      </c>
      <c r="B21" s="596">
        <v>1967.08</v>
      </c>
      <c r="C21" s="596">
        <v>4505</v>
      </c>
      <c r="D21" s="596">
        <v>372</v>
      </c>
      <c r="E21" s="596">
        <v>354.83</v>
      </c>
      <c r="F21" s="596">
        <v>377.65</v>
      </c>
      <c r="G21" s="596">
        <v>95.38</v>
      </c>
      <c r="H21" s="596">
        <v>93.96</v>
      </c>
      <c r="I21" s="596">
        <v>372</v>
      </c>
      <c r="J21" s="596">
        <v>354.83</v>
      </c>
      <c r="K21" s="596">
        <v>377.65</v>
      </c>
      <c r="L21" s="596">
        <v>95.38</v>
      </c>
      <c r="M21" s="596">
        <v>93.96</v>
      </c>
      <c r="N21" s="811"/>
      <c r="O21" s="811"/>
      <c r="P21" s="811"/>
      <c r="Q21" s="811"/>
      <c r="R21" s="811"/>
      <c r="S21" s="812"/>
      <c r="T21" s="809"/>
    </row>
    <row r="22" spans="1:20" ht="33.75">
      <c r="A22" s="834" t="s">
        <v>967</v>
      </c>
      <c r="B22" s="813">
        <v>66057.91</v>
      </c>
      <c r="C22" s="814">
        <v>375451</v>
      </c>
      <c r="D22" s="813">
        <v>31779</v>
      </c>
      <c r="E22" s="813">
        <v>31295.3</v>
      </c>
      <c r="F22" s="813">
        <v>31705.51</v>
      </c>
      <c r="G22" s="813">
        <v>98.48</v>
      </c>
      <c r="H22" s="813">
        <v>98.71</v>
      </c>
      <c r="I22" s="813">
        <v>31779</v>
      </c>
      <c r="J22" s="813">
        <v>31295.3</v>
      </c>
      <c r="K22" s="813">
        <v>31705.51</v>
      </c>
      <c r="L22" s="813">
        <v>98.48</v>
      </c>
      <c r="M22" s="813">
        <v>98.71</v>
      </c>
      <c r="N22" s="813">
        <v>69.75</v>
      </c>
      <c r="O22" s="813">
        <v>74.59</v>
      </c>
      <c r="P22" s="813">
        <v>76.34</v>
      </c>
      <c r="Q22" s="813">
        <v>69.75</v>
      </c>
      <c r="R22" s="813">
        <v>74.59</v>
      </c>
      <c r="S22" s="815">
        <v>76.34</v>
      </c>
      <c r="T22" s="809"/>
    </row>
    <row r="23" spans="1:20" ht="22.5">
      <c r="A23" s="834" t="s">
        <v>968</v>
      </c>
      <c r="B23" s="813">
        <v>72819.14</v>
      </c>
      <c r="C23" s="814">
        <v>374986</v>
      </c>
      <c r="D23" s="813">
        <v>33225</v>
      </c>
      <c r="E23" s="813">
        <v>29505.58</v>
      </c>
      <c r="F23" s="813">
        <v>30631.85</v>
      </c>
      <c r="G23" s="813">
        <v>88.81</v>
      </c>
      <c r="H23" s="813">
        <v>96.32</v>
      </c>
      <c r="I23" s="813">
        <v>33225</v>
      </c>
      <c r="J23" s="813">
        <v>29505.58</v>
      </c>
      <c r="K23" s="813">
        <v>30631.85</v>
      </c>
      <c r="L23" s="813">
        <v>88.81</v>
      </c>
      <c r="M23" s="813">
        <v>96.32</v>
      </c>
      <c r="N23" s="813">
        <v>63.85</v>
      </c>
      <c r="O23" s="813">
        <v>61.42</v>
      </c>
      <c r="P23" s="813">
        <v>64.38</v>
      </c>
      <c r="Q23" s="813">
        <v>63.85</v>
      </c>
      <c r="R23" s="813">
        <v>61.42</v>
      </c>
      <c r="S23" s="815">
        <v>64.38</v>
      </c>
      <c r="T23" s="809"/>
    </row>
    <row r="24" spans="1:20" ht="22.5">
      <c r="A24" s="834" t="s">
        <v>969</v>
      </c>
      <c r="B24" s="813">
        <v>83858.8</v>
      </c>
      <c r="C24" s="814">
        <v>373462</v>
      </c>
      <c r="D24" s="813">
        <v>32364</v>
      </c>
      <c r="E24" s="813">
        <v>31959.4</v>
      </c>
      <c r="F24" s="813">
        <v>28926.55</v>
      </c>
      <c r="G24" s="813">
        <v>98.75</v>
      </c>
      <c r="H24" s="813">
        <v>110.48</v>
      </c>
      <c r="I24" s="813">
        <v>32364</v>
      </c>
      <c r="J24" s="813">
        <v>31959.4</v>
      </c>
      <c r="K24" s="813">
        <v>28926.55</v>
      </c>
      <c r="L24" s="813">
        <v>98.75</v>
      </c>
      <c r="M24" s="813">
        <v>110.48</v>
      </c>
      <c r="N24" s="813">
        <v>59.43</v>
      </c>
      <c r="O24" s="813">
        <v>60.05</v>
      </c>
      <c r="P24" s="813">
        <v>55.25</v>
      </c>
      <c r="Q24" s="813">
        <v>59.43</v>
      </c>
      <c r="R24" s="813">
        <v>60.05</v>
      </c>
      <c r="S24" s="815">
        <v>55.25</v>
      </c>
      <c r="T24" s="809"/>
    </row>
    <row r="25" spans="1:20" ht="22.5">
      <c r="A25" s="834" t="s">
        <v>970</v>
      </c>
      <c r="B25" s="813">
        <v>3477</v>
      </c>
      <c r="C25" s="813">
        <v>18231</v>
      </c>
      <c r="D25" s="813">
        <v>1593</v>
      </c>
      <c r="E25" s="813">
        <v>1655.79</v>
      </c>
      <c r="F25" s="813">
        <v>1740.38</v>
      </c>
      <c r="G25" s="813">
        <v>103.94</v>
      </c>
      <c r="H25" s="813">
        <v>95.14</v>
      </c>
      <c r="I25" s="813">
        <v>1593</v>
      </c>
      <c r="J25" s="813">
        <v>1655.79</v>
      </c>
      <c r="K25" s="813">
        <v>1740.38</v>
      </c>
      <c r="L25" s="813">
        <v>103.94</v>
      </c>
      <c r="M25" s="813">
        <v>95.14</v>
      </c>
      <c r="N25" s="813">
        <v>62.73</v>
      </c>
      <c r="O25" s="813">
        <v>64.400000000000006</v>
      </c>
      <c r="P25" s="813">
        <v>68.150000000000006</v>
      </c>
      <c r="Q25" s="813">
        <v>62.73</v>
      </c>
      <c r="R25" s="813">
        <v>64.400000000000006</v>
      </c>
      <c r="S25" s="815">
        <v>68.150000000000006</v>
      </c>
      <c r="T25" s="809"/>
    </row>
    <row r="26" spans="1:20" ht="22.5">
      <c r="A26" s="834" t="s">
        <v>971</v>
      </c>
      <c r="B26" s="814">
        <v>226212.8</v>
      </c>
      <c r="C26" s="816">
        <v>1142130</v>
      </c>
      <c r="D26" s="813">
        <v>98961</v>
      </c>
      <c r="E26" s="813">
        <v>94416.07</v>
      </c>
      <c r="F26" s="813">
        <v>93004.29</v>
      </c>
      <c r="G26" s="813">
        <v>95.41</v>
      </c>
      <c r="H26" s="813">
        <v>101.52</v>
      </c>
      <c r="I26" s="813">
        <v>98961</v>
      </c>
      <c r="J26" s="813">
        <v>94416.07</v>
      </c>
      <c r="K26" s="813">
        <v>93004.29</v>
      </c>
      <c r="L26" s="813">
        <v>95.41</v>
      </c>
      <c r="M26" s="813">
        <v>101.52</v>
      </c>
      <c r="N26" s="813">
        <v>63.99</v>
      </c>
      <c r="O26" s="813">
        <v>64.709999999999994</v>
      </c>
      <c r="P26" s="813">
        <v>64.540000000000006</v>
      </c>
      <c r="Q26" s="813">
        <v>63.99</v>
      </c>
      <c r="R26" s="813">
        <v>64.709999999999994</v>
      </c>
      <c r="S26" s="815">
        <v>64.540000000000006</v>
      </c>
      <c r="T26" s="809"/>
    </row>
    <row r="27" spans="1:20">
      <c r="A27" s="2031" t="s">
        <v>972</v>
      </c>
      <c r="B27" s="2032"/>
      <c r="C27" s="2032"/>
      <c r="D27" s="2032"/>
      <c r="E27" s="2032"/>
      <c r="F27" s="2032"/>
      <c r="G27" s="2032"/>
      <c r="H27" s="2032"/>
      <c r="I27" s="2032"/>
      <c r="J27" s="2032"/>
      <c r="K27" s="2032"/>
      <c r="L27" s="2032"/>
      <c r="M27" s="2032"/>
      <c r="N27" s="2032"/>
      <c r="O27" s="2032"/>
      <c r="P27" s="2032"/>
      <c r="Q27" s="2032"/>
      <c r="R27" s="2032"/>
      <c r="S27" s="2033"/>
      <c r="T27" s="809"/>
    </row>
    <row r="28" spans="1:20">
      <c r="A28" s="2031" t="s">
        <v>952</v>
      </c>
      <c r="B28" s="2032"/>
      <c r="C28" s="2032"/>
      <c r="D28" s="2032"/>
      <c r="E28" s="2032"/>
      <c r="F28" s="2032"/>
      <c r="G28" s="2032"/>
      <c r="H28" s="2032"/>
      <c r="I28" s="2032"/>
      <c r="J28" s="2032"/>
      <c r="K28" s="2032"/>
      <c r="L28" s="2032"/>
      <c r="M28" s="2032"/>
      <c r="N28" s="2032"/>
      <c r="O28" s="2032"/>
      <c r="P28" s="2032"/>
      <c r="Q28" s="2032"/>
      <c r="R28" s="2032"/>
      <c r="S28" s="2033"/>
      <c r="T28" s="809"/>
    </row>
    <row r="29" spans="1:20">
      <c r="A29" s="833" t="s">
        <v>973</v>
      </c>
      <c r="B29" s="596">
        <v>100</v>
      </c>
      <c r="C29" s="596">
        <v>0</v>
      </c>
      <c r="D29" s="596">
        <v>0</v>
      </c>
      <c r="E29" s="596">
        <v>0</v>
      </c>
      <c r="F29" s="596">
        <v>0</v>
      </c>
      <c r="G29" s="596">
        <v>0</v>
      </c>
      <c r="H29" s="596">
        <v>0</v>
      </c>
      <c r="I29" s="596">
        <v>0</v>
      </c>
      <c r="J29" s="596">
        <v>0</v>
      </c>
      <c r="K29" s="596">
        <v>0</v>
      </c>
      <c r="L29" s="596">
        <v>0</v>
      </c>
      <c r="M29" s="596">
        <v>0</v>
      </c>
      <c r="N29" s="811"/>
      <c r="O29" s="596">
        <v>0</v>
      </c>
      <c r="P29" s="596">
        <v>0</v>
      </c>
      <c r="Q29" s="811"/>
      <c r="R29" s="596">
        <v>0</v>
      </c>
      <c r="S29" s="810">
        <v>0</v>
      </c>
      <c r="T29" s="809"/>
    </row>
    <row r="30" spans="1:20">
      <c r="A30" s="833" t="s">
        <v>974</v>
      </c>
      <c r="B30" s="596">
        <v>6680</v>
      </c>
      <c r="C30" s="596">
        <v>44720</v>
      </c>
      <c r="D30" s="596">
        <v>3673</v>
      </c>
      <c r="E30" s="596">
        <v>3177.65</v>
      </c>
      <c r="F30" s="596">
        <v>3306.44</v>
      </c>
      <c r="G30" s="596">
        <v>86.51</v>
      </c>
      <c r="H30" s="596">
        <v>96.1</v>
      </c>
      <c r="I30" s="596">
        <v>3673</v>
      </c>
      <c r="J30" s="596">
        <v>3177.65</v>
      </c>
      <c r="K30" s="596">
        <v>3306.44</v>
      </c>
      <c r="L30" s="596">
        <v>86.51</v>
      </c>
      <c r="M30" s="596">
        <v>96.1</v>
      </c>
      <c r="N30" s="596">
        <v>76.37</v>
      </c>
      <c r="O30" s="596">
        <v>66.069999999999993</v>
      </c>
      <c r="P30" s="596">
        <v>68.75</v>
      </c>
      <c r="Q30" s="596">
        <v>76.37</v>
      </c>
      <c r="R30" s="596">
        <v>66.069999999999993</v>
      </c>
      <c r="S30" s="810">
        <v>68.75</v>
      </c>
      <c r="T30" s="809"/>
    </row>
    <row r="31" spans="1:20" ht="33.75">
      <c r="A31" s="834" t="s">
        <v>967</v>
      </c>
      <c r="B31" s="813">
        <v>6780</v>
      </c>
      <c r="C31" s="813">
        <v>44720</v>
      </c>
      <c r="D31" s="813">
        <v>3673</v>
      </c>
      <c r="E31" s="813">
        <v>3177.65</v>
      </c>
      <c r="F31" s="813">
        <v>3306.44</v>
      </c>
      <c r="G31" s="813">
        <v>86.51</v>
      </c>
      <c r="H31" s="813">
        <v>96.1</v>
      </c>
      <c r="I31" s="813">
        <v>3673</v>
      </c>
      <c r="J31" s="813">
        <v>3177.65</v>
      </c>
      <c r="K31" s="813">
        <v>3306.44</v>
      </c>
      <c r="L31" s="813">
        <v>86.51</v>
      </c>
      <c r="M31" s="813">
        <v>96.1</v>
      </c>
      <c r="N31" s="813">
        <v>76.37</v>
      </c>
      <c r="O31" s="813">
        <v>65.09</v>
      </c>
      <c r="P31" s="813">
        <v>67.73</v>
      </c>
      <c r="Q31" s="813">
        <v>76.37</v>
      </c>
      <c r="R31" s="813">
        <v>65.09</v>
      </c>
      <c r="S31" s="815">
        <v>67.73</v>
      </c>
      <c r="T31" s="809"/>
    </row>
    <row r="32" spans="1:20" ht="22.5">
      <c r="A32" s="834" t="s">
        <v>975</v>
      </c>
      <c r="B32" s="813">
        <v>6780</v>
      </c>
      <c r="C32" s="813">
        <v>44720</v>
      </c>
      <c r="D32" s="813">
        <v>3673</v>
      </c>
      <c r="E32" s="813">
        <v>3177.65</v>
      </c>
      <c r="F32" s="813">
        <v>3306.44</v>
      </c>
      <c r="G32" s="813">
        <v>86.51</v>
      </c>
      <c r="H32" s="813">
        <v>96.1</v>
      </c>
      <c r="I32" s="813">
        <v>3673</v>
      </c>
      <c r="J32" s="813">
        <v>3177.65</v>
      </c>
      <c r="K32" s="813">
        <v>3306.44</v>
      </c>
      <c r="L32" s="813">
        <v>86.51</v>
      </c>
      <c r="M32" s="813">
        <v>96.1</v>
      </c>
      <c r="N32" s="813">
        <v>76.37</v>
      </c>
      <c r="O32" s="813">
        <v>65.09</v>
      </c>
      <c r="P32" s="813">
        <v>67.73</v>
      </c>
      <c r="Q32" s="813">
        <v>76.37</v>
      </c>
      <c r="R32" s="813">
        <v>65.09</v>
      </c>
      <c r="S32" s="815">
        <v>67.73</v>
      </c>
      <c r="T32" s="809"/>
    </row>
    <row r="33" spans="1:20">
      <c r="A33" s="2031" t="s">
        <v>976</v>
      </c>
      <c r="B33" s="2032"/>
      <c r="C33" s="2032"/>
      <c r="D33" s="2032"/>
      <c r="E33" s="2032"/>
      <c r="F33" s="2032"/>
      <c r="G33" s="2032"/>
      <c r="H33" s="2032"/>
      <c r="I33" s="2032"/>
      <c r="J33" s="2032"/>
      <c r="K33" s="2032"/>
      <c r="L33" s="2032"/>
      <c r="M33" s="2032"/>
      <c r="N33" s="2032"/>
      <c r="O33" s="2032"/>
      <c r="P33" s="2032"/>
      <c r="Q33" s="2032"/>
      <c r="R33" s="2032"/>
      <c r="S33" s="2033"/>
      <c r="T33" s="809"/>
    </row>
    <row r="34" spans="1:20">
      <c r="A34" s="2031" t="s">
        <v>952</v>
      </c>
      <c r="B34" s="2032"/>
      <c r="C34" s="2032"/>
      <c r="D34" s="2032"/>
      <c r="E34" s="2032"/>
      <c r="F34" s="2032"/>
      <c r="G34" s="2032"/>
      <c r="H34" s="2032"/>
      <c r="I34" s="2032"/>
      <c r="J34" s="2032"/>
      <c r="K34" s="2032"/>
      <c r="L34" s="2032"/>
      <c r="M34" s="2032"/>
      <c r="N34" s="2032"/>
      <c r="O34" s="2032"/>
      <c r="P34" s="2032"/>
      <c r="Q34" s="2032"/>
      <c r="R34" s="2032"/>
      <c r="S34" s="2033"/>
      <c r="T34" s="809"/>
    </row>
    <row r="35" spans="1:20">
      <c r="A35" s="833" t="s">
        <v>977</v>
      </c>
      <c r="B35" s="596">
        <v>2920.3</v>
      </c>
      <c r="C35" s="596">
        <v>9470</v>
      </c>
      <c r="D35" s="596">
        <v>516</v>
      </c>
      <c r="E35" s="596">
        <v>832.19</v>
      </c>
      <c r="F35" s="596">
        <v>469.84</v>
      </c>
      <c r="G35" s="596">
        <v>161.28</v>
      </c>
      <c r="H35" s="596">
        <v>177.12</v>
      </c>
      <c r="I35" s="596">
        <v>516</v>
      </c>
      <c r="J35" s="596">
        <v>832.19</v>
      </c>
      <c r="K35" s="596">
        <v>469.84</v>
      </c>
      <c r="L35" s="596">
        <v>161.28</v>
      </c>
      <c r="M35" s="596">
        <v>177.12</v>
      </c>
      <c r="N35" s="811"/>
      <c r="O35" s="811"/>
      <c r="P35" s="811"/>
      <c r="Q35" s="811"/>
      <c r="R35" s="811"/>
      <c r="S35" s="812"/>
      <c r="T35" s="809"/>
    </row>
    <row r="36" spans="1:20">
      <c r="A36" s="833" t="s">
        <v>955</v>
      </c>
      <c r="B36" s="596">
        <v>143.19999999999999</v>
      </c>
      <c r="C36" s="596">
        <v>210</v>
      </c>
      <c r="D36" s="596">
        <v>4</v>
      </c>
      <c r="E36" s="596">
        <v>3.26</v>
      </c>
      <c r="F36" s="596">
        <v>18.350000000000001</v>
      </c>
      <c r="G36" s="596">
        <v>81.5</v>
      </c>
      <c r="H36" s="596">
        <v>17.77</v>
      </c>
      <c r="I36" s="596">
        <v>4</v>
      </c>
      <c r="J36" s="596">
        <v>3.26</v>
      </c>
      <c r="K36" s="596">
        <v>18.350000000000001</v>
      </c>
      <c r="L36" s="596">
        <v>81.5</v>
      </c>
      <c r="M36" s="596">
        <v>17.77</v>
      </c>
      <c r="N36" s="811"/>
      <c r="O36" s="811"/>
      <c r="P36" s="811"/>
      <c r="Q36" s="811"/>
      <c r="R36" s="811"/>
      <c r="S36" s="812"/>
      <c r="T36" s="809"/>
    </row>
    <row r="37" spans="1:20">
      <c r="A37" s="833" t="s">
        <v>958</v>
      </c>
      <c r="B37" s="596">
        <v>900</v>
      </c>
      <c r="C37" s="596">
        <v>4877</v>
      </c>
      <c r="D37" s="596">
        <v>82</v>
      </c>
      <c r="E37" s="596">
        <v>47.85</v>
      </c>
      <c r="F37" s="596">
        <v>110.72</v>
      </c>
      <c r="G37" s="596">
        <v>58.35</v>
      </c>
      <c r="H37" s="596">
        <v>43.22</v>
      </c>
      <c r="I37" s="596">
        <v>82</v>
      </c>
      <c r="J37" s="596">
        <v>47.85</v>
      </c>
      <c r="K37" s="596">
        <v>110.72</v>
      </c>
      <c r="L37" s="596">
        <v>58.35</v>
      </c>
      <c r="M37" s="596">
        <v>43.22</v>
      </c>
      <c r="N37" s="811"/>
      <c r="O37" s="811"/>
      <c r="P37" s="811"/>
      <c r="Q37" s="811"/>
      <c r="R37" s="811"/>
      <c r="S37" s="812"/>
      <c r="T37" s="809"/>
    </row>
    <row r="38" spans="1:20">
      <c r="A38" s="833" t="s">
        <v>978</v>
      </c>
      <c r="B38" s="596">
        <v>1520</v>
      </c>
      <c r="C38" s="596">
        <v>2300</v>
      </c>
      <c r="D38" s="596">
        <v>150</v>
      </c>
      <c r="E38" s="596">
        <v>127.07</v>
      </c>
      <c r="F38" s="596">
        <v>41.05</v>
      </c>
      <c r="G38" s="596">
        <v>84.71</v>
      </c>
      <c r="H38" s="596">
        <v>309.55</v>
      </c>
      <c r="I38" s="596">
        <v>150</v>
      </c>
      <c r="J38" s="596">
        <v>127.07</v>
      </c>
      <c r="K38" s="596">
        <v>41.05</v>
      </c>
      <c r="L38" s="596">
        <v>84.71</v>
      </c>
      <c r="M38" s="596">
        <v>309.55</v>
      </c>
      <c r="N38" s="811"/>
      <c r="O38" s="811"/>
      <c r="P38" s="811"/>
      <c r="Q38" s="811"/>
      <c r="R38" s="811"/>
      <c r="S38" s="812"/>
      <c r="T38" s="809"/>
    </row>
    <row r="39" spans="1:20">
      <c r="A39" s="833" t="s">
        <v>979</v>
      </c>
      <c r="B39" s="596">
        <v>5451.2</v>
      </c>
      <c r="C39" s="596">
        <v>24050</v>
      </c>
      <c r="D39" s="596">
        <v>2146</v>
      </c>
      <c r="E39" s="596">
        <v>2554.2399999999998</v>
      </c>
      <c r="F39" s="596">
        <v>1582.82</v>
      </c>
      <c r="G39" s="596">
        <v>119.02</v>
      </c>
      <c r="H39" s="596">
        <v>161.37</v>
      </c>
      <c r="I39" s="596">
        <v>2146</v>
      </c>
      <c r="J39" s="596">
        <v>2554.2399999999998</v>
      </c>
      <c r="K39" s="596">
        <v>1582.82</v>
      </c>
      <c r="L39" s="596">
        <v>119.02</v>
      </c>
      <c r="M39" s="596">
        <v>161.37</v>
      </c>
      <c r="N39" s="811"/>
      <c r="O39" s="811"/>
      <c r="P39" s="811"/>
      <c r="Q39" s="811"/>
      <c r="R39" s="811"/>
      <c r="S39" s="812"/>
      <c r="T39" s="809"/>
    </row>
    <row r="40" spans="1:20">
      <c r="A40" s="833" t="s">
        <v>963</v>
      </c>
      <c r="B40" s="596">
        <v>800</v>
      </c>
      <c r="C40" s="596">
        <v>3000</v>
      </c>
      <c r="D40" s="596">
        <v>203</v>
      </c>
      <c r="E40" s="596">
        <v>217.55</v>
      </c>
      <c r="F40" s="596">
        <v>98.79</v>
      </c>
      <c r="G40" s="596">
        <v>107.17</v>
      </c>
      <c r="H40" s="596">
        <v>220.21</v>
      </c>
      <c r="I40" s="596">
        <v>203</v>
      </c>
      <c r="J40" s="596">
        <v>217.55</v>
      </c>
      <c r="K40" s="596">
        <v>98.79</v>
      </c>
      <c r="L40" s="596">
        <v>107.17</v>
      </c>
      <c r="M40" s="596">
        <v>220.21</v>
      </c>
      <c r="N40" s="811"/>
      <c r="O40" s="811"/>
      <c r="P40" s="811"/>
      <c r="Q40" s="811"/>
      <c r="R40" s="811"/>
      <c r="S40" s="812"/>
      <c r="T40" s="809"/>
    </row>
    <row r="41" spans="1:20">
      <c r="A41" s="835" t="s">
        <v>980</v>
      </c>
      <c r="B41" s="595">
        <v>1912.02</v>
      </c>
      <c r="C41" s="595">
        <v>8550</v>
      </c>
      <c r="D41" s="595">
        <v>442</v>
      </c>
      <c r="E41" s="595">
        <v>691.33</v>
      </c>
      <c r="F41" s="595">
        <v>360.95</v>
      </c>
      <c r="G41" s="595">
        <v>156.41</v>
      </c>
      <c r="H41" s="595">
        <v>191.53</v>
      </c>
      <c r="I41" s="595">
        <v>442</v>
      </c>
      <c r="J41" s="595">
        <v>691.33</v>
      </c>
      <c r="K41" s="595">
        <v>360.95</v>
      </c>
      <c r="L41" s="595">
        <v>156.41</v>
      </c>
      <c r="M41" s="595">
        <v>191.53</v>
      </c>
      <c r="N41" s="817"/>
      <c r="O41" s="817"/>
      <c r="P41" s="817"/>
      <c r="Q41" s="817"/>
      <c r="R41" s="817"/>
      <c r="S41" s="818"/>
      <c r="T41" s="809"/>
    </row>
    <row r="42" spans="1:20">
      <c r="A42" s="833" t="s">
        <v>981</v>
      </c>
      <c r="B42" s="596">
        <v>1400</v>
      </c>
      <c r="C42" s="596">
        <v>4160</v>
      </c>
      <c r="D42" s="596">
        <v>318</v>
      </c>
      <c r="E42" s="596">
        <v>340.41</v>
      </c>
      <c r="F42" s="596">
        <v>232.93</v>
      </c>
      <c r="G42" s="596">
        <v>107.05</v>
      </c>
      <c r="H42" s="596">
        <v>146.13999999999999</v>
      </c>
      <c r="I42" s="596">
        <v>318</v>
      </c>
      <c r="J42" s="596">
        <v>340.41</v>
      </c>
      <c r="K42" s="596">
        <v>232.93</v>
      </c>
      <c r="L42" s="596">
        <v>107.05</v>
      </c>
      <c r="M42" s="596">
        <v>146.13999999999999</v>
      </c>
      <c r="N42" s="811"/>
      <c r="O42" s="811"/>
      <c r="P42" s="811"/>
      <c r="Q42" s="811"/>
      <c r="R42" s="811"/>
      <c r="S42" s="812"/>
      <c r="T42" s="809"/>
    </row>
    <row r="43" spans="1:20" ht="33.75">
      <c r="A43" s="834" t="s">
        <v>967</v>
      </c>
      <c r="B43" s="813">
        <v>15046.72</v>
      </c>
      <c r="C43" s="813">
        <v>56617</v>
      </c>
      <c r="D43" s="813">
        <v>3861</v>
      </c>
      <c r="E43" s="813">
        <v>4813.8999999999996</v>
      </c>
      <c r="F43" s="813">
        <v>2915.45</v>
      </c>
      <c r="G43" s="813">
        <v>124.68</v>
      </c>
      <c r="H43" s="813">
        <v>165.12</v>
      </c>
      <c r="I43" s="813">
        <v>3861</v>
      </c>
      <c r="J43" s="813">
        <v>4813.8999999999996</v>
      </c>
      <c r="K43" s="813">
        <v>2915.45</v>
      </c>
      <c r="L43" s="813">
        <v>124.68</v>
      </c>
      <c r="M43" s="813">
        <v>165.12</v>
      </c>
      <c r="N43" s="811"/>
      <c r="O43" s="811"/>
      <c r="P43" s="811"/>
      <c r="Q43" s="811"/>
      <c r="R43" s="811"/>
      <c r="S43" s="812"/>
      <c r="T43" s="809"/>
    </row>
    <row r="44" spans="1:20" ht="22.5">
      <c r="A44" s="834" t="s">
        <v>968</v>
      </c>
      <c r="B44" s="813">
        <v>26958.5</v>
      </c>
      <c r="C44" s="813">
        <v>66805</v>
      </c>
      <c r="D44" s="813">
        <v>4982</v>
      </c>
      <c r="E44" s="813">
        <v>5365.14</v>
      </c>
      <c r="F44" s="813">
        <v>4030.02</v>
      </c>
      <c r="G44" s="813">
        <v>107.69</v>
      </c>
      <c r="H44" s="813">
        <v>133.13</v>
      </c>
      <c r="I44" s="813">
        <v>4982</v>
      </c>
      <c r="J44" s="813">
        <v>5365.14</v>
      </c>
      <c r="K44" s="813">
        <v>4030.02</v>
      </c>
      <c r="L44" s="813">
        <v>107.69</v>
      </c>
      <c r="M44" s="813">
        <v>133.13</v>
      </c>
      <c r="N44" s="811"/>
      <c r="O44" s="811"/>
      <c r="P44" s="811"/>
      <c r="Q44" s="811"/>
      <c r="R44" s="811"/>
      <c r="S44" s="812"/>
      <c r="T44" s="809"/>
    </row>
    <row r="45" spans="1:20" ht="22.5">
      <c r="A45" s="834" t="s">
        <v>969</v>
      </c>
      <c r="B45" s="813">
        <v>2947</v>
      </c>
      <c r="C45" s="813">
        <v>12069</v>
      </c>
      <c r="D45" s="813">
        <v>573</v>
      </c>
      <c r="E45" s="813">
        <v>804.05</v>
      </c>
      <c r="F45" s="813">
        <v>474.79</v>
      </c>
      <c r="G45" s="813">
        <v>140.32</v>
      </c>
      <c r="H45" s="813">
        <v>169.35</v>
      </c>
      <c r="I45" s="813">
        <v>573</v>
      </c>
      <c r="J45" s="813">
        <v>804.05</v>
      </c>
      <c r="K45" s="813">
        <v>474.79</v>
      </c>
      <c r="L45" s="813">
        <v>140.32</v>
      </c>
      <c r="M45" s="813">
        <v>169.35</v>
      </c>
      <c r="N45" s="811"/>
      <c r="O45" s="811"/>
      <c r="P45" s="811"/>
      <c r="Q45" s="811"/>
      <c r="R45" s="811"/>
      <c r="S45" s="812"/>
      <c r="T45" s="809"/>
    </row>
    <row r="46" spans="1:20" ht="22.5">
      <c r="A46" s="834" t="s">
        <v>970</v>
      </c>
      <c r="B46" s="813">
        <v>447</v>
      </c>
      <c r="C46" s="813">
        <v>1441</v>
      </c>
      <c r="D46" s="813">
        <v>123</v>
      </c>
      <c r="E46" s="813">
        <v>109.3</v>
      </c>
      <c r="F46" s="813">
        <v>136.55000000000001</v>
      </c>
      <c r="G46" s="813">
        <v>88.86</v>
      </c>
      <c r="H46" s="813">
        <v>80.040000000000006</v>
      </c>
      <c r="I46" s="813">
        <v>123</v>
      </c>
      <c r="J46" s="813">
        <v>109.3</v>
      </c>
      <c r="K46" s="813">
        <v>136.55000000000001</v>
      </c>
      <c r="L46" s="813">
        <v>88.86</v>
      </c>
      <c r="M46" s="813">
        <v>80.040000000000006</v>
      </c>
      <c r="N46" s="811"/>
      <c r="O46" s="811"/>
      <c r="P46" s="811"/>
      <c r="Q46" s="811"/>
      <c r="R46" s="811"/>
      <c r="S46" s="812"/>
      <c r="T46" s="809"/>
    </row>
    <row r="47" spans="1:20" ht="22.5">
      <c r="A47" s="834" t="s">
        <v>982</v>
      </c>
      <c r="B47" s="813">
        <v>45399.22</v>
      </c>
      <c r="C47" s="814">
        <v>136932</v>
      </c>
      <c r="D47" s="813">
        <v>9539</v>
      </c>
      <c r="E47" s="813">
        <v>11092.39</v>
      </c>
      <c r="F47" s="813">
        <v>7556.81</v>
      </c>
      <c r="G47" s="813">
        <v>116.28</v>
      </c>
      <c r="H47" s="813">
        <v>146.79</v>
      </c>
      <c r="I47" s="813">
        <v>9539</v>
      </c>
      <c r="J47" s="813">
        <v>11092.39</v>
      </c>
      <c r="K47" s="813">
        <v>7556.81</v>
      </c>
      <c r="L47" s="813">
        <v>116.28</v>
      </c>
      <c r="M47" s="813">
        <v>146.79</v>
      </c>
      <c r="N47" s="811"/>
      <c r="O47" s="811"/>
      <c r="P47" s="811"/>
      <c r="Q47" s="811"/>
      <c r="R47" s="811"/>
      <c r="S47" s="812"/>
      <c r="T47" s="809"/>
    </row>
    <row r="48" spans="1:20">
      <c r="A48" s="2031" t="s">
        <v>983</v>
      </c>
      <c r="B48" s="2032"/>
      <c r="C48" s="2032"/>
      <c r="D48" s="2032"/>
      <c r="E48" s="2032"/>
      <c r="F48" s="2032"/>
      <c r="G48" s="2032"/>
      <c r="H48" s="2032"/>
      <c r="I48" s="2032"/>
      <c r="J48" s="2032"/>
      <c r="K48" s="2032"/>
      <c r="L48" s="2032"/>
      <c r="M48" s="2032"/>
      <c r="N48" s="2032"/>
      <c r="O48" s="2032"/>
      <c r="P48" s="2032"/>
      <c r="Q48" s="2032"/>
      <c r="R48" s="2032"/>
      <c r="S48" s="2033"/>
      <c r="T48" s="809"/>
    </row>
    <row r="49" spans="1:20">
      <c r="A49" s="819"/>
      <c r="B49" s="596">
        <v>0</v>
      </c>
      <c r="C49" s="596">
        <v>6218</v>
      </c>
      <c r="D49" s="596">
        <v>175</v>
      </c>
      <c r="E49" s="596">
        <v>243.96</v>
      </c>
      <c r="F49" s="596">
        <v>23.31</v>
      </c>
      <c r="G49" s="596">
        <v>139.41</v>
      </c>
      <c r="H49" s="596">
        <v>1046.5899999999999</v>
      </c>
      <c r="I49" s="596">
        <v>175</v>
      </c>
      <c r="J49" s="596">
        <v>243.96</v>
      </c>
      <c r="K49" s="596">
        <v>23</v>
      </c>
      <c r="L49" s="596">
        <v>139.41</v>
      </c>
      <c r="M49" s="596">
        <v>1060.7</v>
      </c>
      <c r="N49" s="811"/>
      <c r="O49" s="811"/>
      <c r="P49" s="811"/>
      <c r="Q49" s="811"/>
      <c r="R49" s="811"/>
      <c r="S49" s="812"/>
      <c r="T49" s="809"/>
    </row>
    <row r="50" spans="1:20" ht="22.5">
      <c r="A50" s="834" t="s">
        <v>984</v>
      </c>
      <c r="B50" s="814">
        <v>278392</v>
      </c>
      <c r="C50" s="816">
        <v>1330000</v>
      </c>
      <c r="D50" s="813">
        <v>112348</v>
      </c>
      <c r="E50" s="813">
        <v>108930.07</v>
      </c>
      <c r="F50" s="813">
        <v>103890.85</v>
      </c>
      <c r="G50" s="813">
        <v>96.96</v>
      </c>
      <c r="H50" s="813">
        <v>104.85</v>
      </c>
      <c r="I50" s="813">
        <v>112348</v>
      </c>
      <c r="J50" s="813">
        <v>108930.07</v>
      </c>
      <c r="K50" s="813">
        <v>103890.54</v>
      </c>
      <c r="L50" s="813">
        <v>96.96</v>
      </c>
      <c r="M50" s="813">
        <v>104.85</v>
      </c>
      <c r="N50" s="820"/>
      <c r="O50" s="820"/>
      <c r="P50" s="820"/>
      <c r="Q50" s="820"/>
      <c r="R50" s="820"/>
      <c r="S50" s="821"/>
      <c r="T50" s="809"/>
    </row>
    <row r="51" spans="1:20">
      <c r="A51" s="2034" t="s">
        <v>985</v>
      </c>
      <c r="B51" s="2034"/>
      <c r="C51" s="2034"/>
      <c r="D51" s="2034"/>
      <c r="E51" s="2034"/>
      <c r="F51" s="2034"/>
      <c r="G51" s="2034"/>
      <c r="H51" s="2034"/>
      <c r="I51" s="2034"/>
      <c r="J51" s="2034"/>
      <c r="K51" s="2034"/>
      <c r="L51" s="2034"/>
      <c r="M51" s="2034"/>
      <c r="N51" s="2034"/>
      <c r="O51" s="2034"/>
      <c r="P51" s="2034"/>
      <c r="Q51" s="2034"/>
      <c r="R51" s="2034"/>
      <c r="S51" s="2034"/>
      <c r="T51" s="2034"/>
    </row>
  </sheetData>
  <mergeCells count="17">
    <mergeCell ref="A48:S48"/>
    <mergeCell ref="A51:T51"/>
    <mergeCell ref="A6:S6"/>
    <mergeCell ref="A7:S7"/>
    <mergeCell ref="A27:S27"/>
    <mergeCell ref="A28:S28"/>
    <mergeCell ref="A33:S33"/>
    <mergeCell ref="A34:S34"/>
    <mergeCell ref="A2:A5"/>
    <mergeCell ref="B2:B4"/>
    <mergeCell ref="C2:C4"/>
    <mergeCell ref="D2:M2"/>
    <mergeCell ref="N2:S2"/>
    <mergeCell ref="D3:H3"/>
    <mergeCell ref="I3:M3"/>
    <mergeCell ref="N3:P3"/>
    <mergeCell ref="Q3:S3"/>
  </mergeCells>
  <pageMargins left="0.7" right="0.7" top="0.75" bottom="0.75" header="0.3" footer="0.3"/>
  <pageSetup scale="51" orientation="portrait" verticalDpi="4294967293"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5" tint="-0.249977111117893"/>
  </sheetPr>
  <dimension ref="A1:K41"/>
  <sheetViews>
    <sheetView view="pageBreakPreview" topLeftCell="A97" zoomScaleNormal="100" zoomScaleSheetLayoutView="100" workbookViewId="0">
      <selection activeCell="I20" sqref="I20"/>
    </sheetView>
  </sheetViews>
  <sheetFormatPr defaultRowHeight="12.75"/>
  <cols>
    <col min="1" max="1" width="9.140625" style="783"/>
    <col min="2" max="2" width="14" customWidth="1"/>
    <col min="3" max="3" width="11.42578125" customWidth="1"/>
    <col min="4" max="4" width="12.5703125" customWidth="1"/>
    <col min="5" max="5" width="14.85546875" customWidth="1"/>
    <col min="6" max="6" width="12.140625" customWidth="1"/>
    <col min="7" max="7" width="14.140625" customWidth="1"/>
    <col min="11" max="11" width="11.140625" customWidth="1"/>
  </cols>
  <sheetData>
    <row r="1" spans="2:11" ht="20.25">
      <c r="B1" s="796" t="str">
        <f>"Important Development in"&amp;TEXT(TY," mmm-yyyy")</f>
        <v>Important Development in Jun-2021</v>
      </c>
      <c r="C1" s="783"/>
    </row>
    <row r="2" spans="2:11" s="783" customFormat="1" ht="20.25">
      <c r="B2" s="796"/>
    </row>
    <row r="3" spans="2:11" ht="16.5">
      <c r="B3" s="785" t="s">
        <v>986</v>
      </c>
    </row>
    <row r="4" spans="2:11" ht="15">
      <c r="B4" s="786"/>
    </row>
    <row r="5" spans="2:11" ht="15.75">
      <c r="B5" s="787" t="s">
        <v>999</v>
      </c>
      <c r="C5" s="797" t="s">
        <v>405</v>
      </c>
      <c r="D5">
        <f>'2'!F6</f>
        <v>0</v>
      </c>
    </row>
    <row r="6" spans="2:11" ht="15.75">
      <c r="B6" s="787" t="s">
        <v>1000</v>
      </c>
      <c r="C6" s="7" t="s">
        <v>407</v>
      </c>
      <c r="D6" s="784">
        <f>'2'!F7</f>
        <v>112.97799999999999</v>
      </c>
    </row>
    <row r="7" spans="2:11" ht="15.75">
      <c r="B7" s="787" t="s">
        <v>1001</v>
      </c>
      <c r="C7" s="7" t="s">
        <v>411</v>
      </c>
      <c r="D7" s="784">
        <f>'2'!F8</f>
        <v>0</v>
      </c>
    </row>
    <row r="8" spans="2:11" ht="15.75">
      <c r="B8" s="788"/>
    </row>
    <row r="9" spans="2:11" ht="16.5">
      <c r="B9" s="785" t="s">
        <v>998</v>
      </c>
    </row>
    <row r="10" spans="2:11" s="784" customFormat="1" ht="16.5">
      <c r="B10" s="785"/>
    </row>
    <row r="11" spans="2:11" ht="15.75">
      <c r="B11" s="144" t="s">
        <v>404</v>
      </c>
      <c r="C11" s="1672" t="s">
        <v>5</v>
      </c>
      <c r="D11" s="1673"/>
      <c r="E11" s="1673"/>
      <c r="F11" s="1673"/>
      <c r="G11" s="1674"/>
      <c r="H11" s="1678" t="s">
        <v>411</v>
      </c>
      <c r="I11" s="1680" t="s">
        <v>407</v>
      </c>
      <c r="J11" s="1682" t="s">
        <v>1004</v>
      </c>
      <c r="K11" s="2040" t="s">
        <v>403</v>
      </c>
    </row>
    <row r="12" spans="2:11" ht="12.75" customHeight="1">
      <c r="B12" s="144"/>
      <c r="C12" s="96" t="s">
        <v>408</v>
      </c>
      <c r="D12" s="96" t="s">
        <v>888</v>
      </c>
      <c r="E12" s="96" t="s">
        <v>409</v>
      </c>
      <c r="F12" s="96" t="s">
        <v>410</v>
      </c>
      <c r="G12" s="96" t="s">
        <v>406</v>
      </c>
      <c r="H12" s="1679"/>
      <c r="I12" s="1681"/>
      <c r="J12" s="1683"/>
      <c r="K12" s="2040"/>
    </row>
    <row r="13" spans="2:11" ht="12.75" customHeight="1">
      <c r="B13" s="97" t="s">
        <v>413</v>
      </c>
      <c r="C13" s="98">
        <f>'4'!C5</f>
        <v>65931.5</v>
      </c>
      <c r="D13" s="98">
        <f>'4'!D5</f>
        <v>1150</v>
      </c>
      <c r="E13" s="98">
        <f>'4'!E5</f>
        <v>7087.3549999999996</v>
      </c>
      <c r="F13" s="98">
        <f>'4'!F5</f>
        <v>236.00800000000001</v>
      </c>
      <c r="G13" s="98">
        <f>'4'!G5</f>
        <v>74404.862999999998</v>
      </c>
      <c r="H13" s="98">
        <f>'4'!H5</f>
        <v>0</v>
      </c>
      <c r="I13" s="98">
        <f>'4'!I5</f>
        <v>27069.5</v>
      </c>
      <c r="J13" s="98">
        <f>'4'!J5</f>
        <v>2401.2719999999999</v>
      </c>
      <c r="K13" s="98">
        <f>'4'!K5</f>
        <v>103875.63499999999</v>
      </c>
    </row>
    <row r="14" spans="2:11">
      <c r="B14" s="97" t="s">
        <v>414</v>
      </c>
      <c r="C14" s="98">
        <f>'4'!C6</f>
        <v>74173</v>
      </c>
      <c r="D14" s="98">
        <f>'4'!D6</f>
        <v>1830</v>
      </c>
      <c r="E14" s="98">
        <f>'4'!E6</f>
        <v>10598.743999999999</v>
      </c>
      <c r="F14" s="98">
        <f>'4'!F6</f>
        <v>273.70100000000002</v>
      </c>
      <c r="G14" s="98">
        <f>'4'!G6</f>
        <v>86875.445000000007</v>
      </c>
      <c r="H14" s="98">
        <f>'4'!H6</f>
        <v>0</v>
      </c>
      <c r="I14" s="98">
        <f>'4'!I6</f>
        <v>3606</v>
      </c>
      <c r="J14" s="98">
        <f>'4'!J6</f>
        <v>92921.93299999999</v>
      </c>
      <c r="K14" s="98">
        <f>'4'!K6</f>
        <v>183403.378</v>
      </c>
    </row>
    <row r="15" spans="2:11">
      <c r="B15" s="97" t="s">
        <v>415</v>
      </c>
      <c r="C15" s="98">
        <f>'4'!C7</f>
        <v>61900</v>
      </c>
      <c r="D15" s="98">
        <f>'4'!D7</f>
        <v>3640.0000000000005</v>
      </c>
      <c r="E15" s="98">
        <f>'4'!E7</f>
        <v>7237.9100000000017</v>
      </c>
      <c r="F15" s="98">
        <f>'4'!F7</f>
        <v>0</v>
      </c>
      <c r="G15" s="98">
        <f>'4'!G7</f>
        <v>72777.91</v>
      </c>
      <c r="H15" s="98">
        <f>'4'!H7</f>
        <v>6780</v>
      </c>
      <c r="I15" s="98">
        <f>'4'!I7</f>
        <v>15646.720000000003</v>
      </c>
      <c r="J15" s="98">
        <f>'4'!J7</f>
        <v>1632.2999999999997</v>
      </c>
      <c r="K15" s="98">
        <f>'4'!K7</f>
        <v>96836.930000000008</v>
      </c>
    </row>
    <row r="16" spans="2:11">
      <c r="B16" s="97" t="s">
        <v>433</v>
      </c>
      <c r="C16" s="98">
        <f>'4'!C8</f>
        <v>202004.5</v>
      </c>
      <c r="D16" s="98">
        <f>'4'!D8</f>
        <v>6620</v>
      </c>
      <c r="E16" s="98">
        <f>'4'!E8</f>
        <v>24924.008999999998</v>
      </c>
      <c r="F16" s="98">
        <f>'4'!F8</f>
        <v>509.70900000000006</v>
      </c>
      <c r="G16" s="98">
        <f>'4'!G8</f>
        <v>234058.21800000002</v>
      </c>
      <c r="H16" s="98">
        <f>'4'!H8</f>
        <v>6780</v>
      </c>
      <c r="I16" s="98">
        <f>'4'!I8</f>
        <v>46322.22</v>
      </c>
      <c r="J16" s="98">
        <f>'4'!J8</f>
        <v>96955.50499999999</v>
      </c>
      <c r="K16" s="98">
        <f>'4'!K8</f>
        <v>384115.94299999997</v>
      </c>
    </row>
    <row r="17" spans="1:11" s="784" customFormat="1">
      <c r="B17" s="143"/>
      <c r="C17" s="798"/>
      <c r="D17" s="798"/>
      <c r="E17" s="798"/>
      <c r="F17" s="798"/>
      <c r="G17" s="798"/>
      <c r="H17" s="798"/>
      <c r="I17" s="798"/>
      <c r="J17" s="798"/>
      <c r="K17" s="798"/>
    </row>
    <row r="18" spans="1:11" s="784" customFormat="1">
      <c r="A18" s="143" t="s">
        <v>1002</v>
      </c>
      <c r="B18" s="799" t="s">
        <v>1034</v>
      </c>
      <c r="D18" s="798"/>
      <c r="E18" s="798"/>
      <c r="F18" s="798"/>
      <c r="G18" s="798"/>
      <c r="H18" s="798"/>
      <c r="I18" s="798"/>
      <c r="J18" s="798"/>
      <c r="K18" s="798"/>
    </row>
    <row r="19" spans="1:11" s="784" customFormat="1" ht="29.25" customHeight="1">
      <c r="B19" s="799" t="s">
        <v>1036</v>
      </c>
      <c r="D19" s="798"/>
      <c r="E19" s="798"/>
      <c r="F19" s="798"/>
      <c r="G19" s="798"/>
      <c r="H19" s="798"/>
      <c r="I19" s="798"/>
      <c r="J19" s="798"/>
      <c r="K19" s="798"/>
    </row>
    <row r="20" spans="1:11" ht="14.25">
      <c r="B20" s="789"/>
    </row>
    <row r="21" spans="1:11" ht="16.5">
      <c r="B21" s="785" t="s">
        <v>1003</v>
      </c>
    </row>
    <row r="22" spans="1:11" s="784" customFormat="1" ht="16.5">
      <c r="B22" s="785"/>
    </row>
    <row r="23" spans="1:11" ht="18" customHeight="1">
      <c r="B23" s="2039" t="s">
        <v>987</v>
      </c>
      <c r="C23" s="2039" t="s">
        <v>988</v>
      </c>
      <c r="D23" s="1910" t="s">
        <v>898</v>
      </c>
      <c r="E23" s="1910"/>
      <c r="F23" s="1910" t="s">
        <v>989</v>
      </c>
      <c r="G23" s="1910"/>
    </row>
    <row r="24" spans="1:11" ht="27.75" customHeight="1">
      <c r="B24" s="2039"/>
      <c r="C24" s="2039"/>
      <c r="D24" s="801">
        <f>LY</f>
        <v>43983</v>
      </c>
      <c r="E24" s="802" t="str">
        <f>TEXT(TY," mmm-yyyy")&amp;"*"</f>
        <v xml:space="preserve"> Jun-2021*</v>
      </c>
      <c r="F24" s="801">
        <f>LY</f>
        <v>43983</v>
      </c>
      <c r="G24" s="802" t="str">
        <f>TEXT(TY," mmm-yyyy")&amp;"*"</f>
        <v xml:space="preserve"> Jun-2021*</v>
      </c>
    </row>
    <row r="25" spans="1:11" ht="15.75">
      <c r="B25" s="803">
        <v>1</v>
      </c>
      <c r="C25" s="806" t="s">
        <v>990</v>
      </c>
      <c r="D25" s="804">
        <f>'1A'!C5</f>
        <v>78.147170000000003</v>
      </c>
      <c r="E25" s="804">
        <f>'1A'!G5</f>
        <v>85.478130000000007</v>
      </c>
      <c r="F25" s="804">
        <v>64.540000000000006</v>
      </c>
      <c r="G25" s="804">
        <v>64.709999999999994</v>
      </c>
    </row>
    <row r="26" spans="1:11" ht="15.75">
      <c r="B26" s="803">
        <v>2</v>
      </c>
      <c r="C26" s="20" t="s">
        <v>411</v>
      </c>
      <c r="D26" s="804">
        <f>'1A'!C6</f>
        <v>3.7647300000000001</v>
      </c>
      <c r="E26" s="804">
        <f>'1A'!G6</f>
        <v>3.7934800000000002</v>
      </c>
      <c r="F26" s="805">
        <v>67.73</v>
      </c>
      <c r="G26" s="805">
        <v>65.09</v>
      </c>
    </row>
    <row r="27" spans="1:11" ht="15.75">
      <c r="B27" s="803">
        <v>3</v>
      </c>
      <c r="C27" s="20" t="s">
        <v>407</v>
      </c>
      <c r="D27" s="804">
        <f>'1A'!C7</f>
        <v>17.015819999999998</v>
      </c>
      <c r="E27" s="804">
        <f>'1A'!G7</f>
        <v>16.000209999999999</v>
      </c>
      <c r="F27" s="806"/>
      <c r="G27" s="806"/>
    </row>
    <row r="28" spans="1:11" ht="26.25" customHeight="1">
      <c r="B28" s="803">
        <v>4</v>
      </c>
      <c r="C28" s="800" t="s">
        <v>21</v>
      </c>
      <c r="D28" s="804">
        <f>'1A'!C8</f>
        <v>1.2144999999999999</v>
      </c>
      <c r="E28" s="804">
        <f>'1A'!G8</f>
        <v>1.14574</v>
      </c>
      <c r="F28" s="806"/>
      <c r="G28" s="806"/>
    </row>
    <row r="29" spans="1:11" ht="15.75">
      <c r="B29" s="2038" t="s">
        <v>991</v>
      </c>
      <c r="C29" s="2038"/>
      <c r="D29" s="807">
        <f>SUM(D25:D28)</f>
        <v>100.14221999999999</v>
      </c>
      <c r="E29" s="807">
        <f>SUM(E25:E28)</f>
        <v>106.41756000000001</v>
      </c>
      <c r="F29" s="803"/>
      <c r="G29" s="806"/>
    </row>
    <row r="30" spans="1:11">
      <c r="B30" s="790"/>
    </row>
    <row r="31" spans="1:11">
      <c r="B31" s="791" t="s">
        <v>992</v>
      </c>
    </row>
    <row r="32" spans="1:11" ht="15">
      <c r="B32" s="792" t="s">
        <v>993</v>
      </c>
    </row>
    <row r="33" spans="2:3" ht="15">
      <c r="B33" s="794"/>
    </row>
    <row r="34" spans="2:3" ht="16.5">
      <c r="B34" s="785" t="s">
        <v>994</v>
      </c>
    </row>
    <row r="35" spans="2:3" ht="15.75">
      <c r="B35" s="795"/>
    </row>
    <row r="36" spans="2:3" ht="15">
      <c r="C36" s="794" t="s">
        <v>995</v>
      </c>
    </row>
    <row r="37" spans="2:3" ht="15.75">
      <c r="B37" s="793"/>
    </row>
    <row r="38" spans="2:3" ht="15">
      <c r="B38" s="794"/>
    </row>
    <row r="39" spans="2:3" ht="16.5">
      <c r="B39" s="785" t="s">
        <v>996</v>
      </c>
    </row>
    <row r="40" spans="2:3" ht="15">
      <c r="B40" s="786"/>
    </row>
    <row r="41" spans="2:3" ht="15">
      <c r="C41" s="794" t="s">
        <v>997</v>
      </c>
    </row>
  </sheetData>
  <mergeCells count="10">
    <mergeCell ref="C11:G11"/>
    <mergeCell ref="H11:H12"/>
    <mergeCell ref="I11:I12"/>
    <mergeCell ref="J11:J12"/>
    <mergeCell ref="K11:K12"/>
    <mergeCell ref="B29:C29"/>
    <mergeCell ref="B23:B24"/>
    <mergeCell ref="C23:C24"/>
    <mergeCell ref="D23:E23"/>
    <mergeCell ref="F23:G23"/>
  </mergeCells>
  <pageMargins left="0.7" right="0.7" top="0.75" bottom="0.75" header="0.3" footer="0.3"/>
  <pageSetup paperSize="9" scale="65"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5" tint="-0.249977111117893"/>
  </sheetPr>
  <dimension ref="A1:O110"/>
  <sheetViews>
    <sheetView view="pageBreakPreview" zoomScaleNormal="100" zoomScaleSheetLayoutView="100" workbookViewId="0">
      <selection activeCell="I20" sqref="I20"/>
    </sheetView>
  </sheetViews>
  <sheetFormatPr defaultColWidth="9.140625" defaultRowHeight="12.75"/>
  <cols>
    <col min="1" max="1" width="4" style="749" customWidth="1"/>
    <col min="2" max="2" width="19.42578125" style="749" customWidth="1"/>
    <col min="3" max="3" width="17.5703125" style="749" customWidth="1"/>
    <col min="4" max="4" width="21.42578125" style="749" customWidth="1"/>
    <col min="5" max="5" width="17" style="749" customWidth="1"/>
    <col min="6" max="6" width="16.28515625" style="749" customWidth="1"/>
    <col min="7" max="7" width="21.5703125" style="749" customWidth="1"/>
    <col min="8" max="9" width="9.140625" style="749"/>
    <col min="10" max="10" width="11.28515625" style="749" customWidth="1"/>
    <col min="11" max="12" width="9.140625" style="749"/>
    <col min="13" max="13" width="15.140625" style="749" customWidth="1"/>
    <col min="14" max="16384" width="9.140625" style="749"/>
  </cols>
  <sheetData>
    <row r="1" spans="1:14" ht="15">
      <c r="A1" s="748" t="s">
        <v>911</v>
      </c>
      <c r="B1" s="748"/>
      <c r="C1" s="748"/>
      <c r="D1" s="748"/>
      <c r="E1" s="748"/>
      <c r="F1" s="748"/>
      <c r="G1" s="748"/>
    </row>
    <row r="2" spans="1:14" ht="15">
      <c r="A2" s="748" t="s">
        <v>426</v>
      </c>
      <c r="B2" s="748" t="s">
        <v>912</v>
      </c>
      <c r="C2" s="748"/>
      <c r="D2" s="748"/>
      <c r="E2" s="748"/>
      <c r="F2" s="748"/>
      <c r="G2" s="748"/>
    </row>
    <row r="3" spans="1:14" ht="15">
      <c r="A3" s="748"/>
      <c r="B3" s="748"/>
      <c r="C3" s="748"/>
      <c r="D3" s="748"/>
      <c r="E3" s="748"/>
      <c r="F3" s="748"/>
      <c r="G3" s="748"/>
      <c r="J3" s="749">
        <v>4</v>
      </c>
      <c r="K3" s="749">
        <v>5</v>
      </c>
      <c r="L3" s="749" t="str">
        <f>G3&amp;"ghhhkhk"&amp;H3&amp;I3&amp;J3&amp;K3</f>
        <v>ghhhkhk45</v>
      </c>
    </row>
    <row r="4" spans="1:14" ht="15">
      <c r="A4" s="748"/>
      <c r="B4" s="748"/>
      <c r="C4" s="748"/>
      <c r="D4" s="748"/>
      <c r="E4" s="748"/>
      <c r="F4" s="748"/>
      <c r="G4" s="748"/>
    </row>
    <row r="5" spans="1:14" ht="15">
      <c r="A5" s="748"/>
      <c r="B5" s="748"/>
      <c r="C5" s="748"/>
      <c r="D5" s="748"/>
      <c r="E5" s="748"/>
      <c r="F5" s="748"/>
      <c r="G5" s="748"/>
    </row>
    <row r="6" spans="1:14" ht="15">
      <c r="A6" s="748"/>
      <c r="B6" s="748"/>
      <c r="C6" s="748"/>
      <c r="D6" s="748"/>
      <c r="E6" s="748"/>
      <c r="F6" s="748"/>
      <c r="G6" s="748"/>
    </row>
    <row r="7" spans="1:14" ht="15">
      <c r="A7" s="748"/>
      <c r="B7" s="748"/>
      <c r="C7" s="748"/>
      <c r="D7" s="748"/>
      <c r="E7" s="748"/>
      <c r="F7" s="748"/>
      <c r="G7" s="748"/>
    </row>
    <row r="8" spans="1:14" ht="15">
      <c r="A8" s="748" t="s">
        <v>919</v>
      </c>
      <c r="B8" s="748"/>
      <c r="C8" s="748"/>
      <c r="D8" s="748"/>
      <c r="E8" s="750">
        <f>EOMONTH(TY,0)+25</f>
        <v>44402</v>
      </c>
      <c r="F8" s="748"/>
      <c r="G8" s="748"/>
    </row>
    <row r="9" spans="1:14" ht="15">
      <c r="A9" s="748"/>
      <c r="B9" s="748"/>
      <c r="C9" s="748"/>
      <c r="D9" s="748"/>
      <c r="E9" s="748"/>
      <c r="F9" s="748"/>
      <c r="G9" s="748"/>
    </row>
    <row r="10" spans="1:14" ht="15">
      <c r="A10" s="748" t="s">
        <v>394</v>
      </c>
      <c r="B10" s="748"/>
      <c r="C10" s="748"/>
      <c r="D10" s="748"/>
      <c r="E10" s="748"/>
      <c r="F10" s="748"/>
      <c r="G10" s="748"/>
    </row>
    <row r="11" spans="1:14" ht="31.5" customHeight="1">
      <c r="A11" s="2046" t="str">
        <f>"मैं आपके ध्यान में लाने हेतु "&amp;TEXT(TY,"[$-439]Mmm-yy")&amp;" एवं "&amp;TEXT(tfy,"[$-439]Mmm-yy")&amp;" से "&amp;TEXT(TY,"[$-439]Mmm-yy") &amp;" की अवधि में विद्युत क्षेत्र में हुई निम्नलिखित उपलब्धियों को साझा करना चाहता हूँ: "</f>
        <v xml:space="preserve">मैं आपके ध्यान में लाने हेतु जून-21 एवं अप्रैल-21 से जून-21 की अवधि में विद्युत क्षेत्र में हुई निम्नलिखित उपलब्धियों को साझा करना चाहता हूँ: </v>
      </c>
      <c r="B11" s="2046"/>
      <c r="C11" s="2046"/>
      <c r="D11" s="2046"/>
      <c r="E11" s="2046"/>
      <c r="F11" s="2046"/>
      <c r="G11" s="2046"/>
    </row>
    <row r="12" spans="1:14" ht="38.25">
      <c r="A12" s="748"/>
      <c r="B12" s="748"/>
      <c r="C12" s="748"/>
      <c r="D12" s="748"/>
      <c r="E12" s="748"/>
      <c r="F12" s="748"/>
      <c r="G12" s="748"/>
      <c r="M12" s="751" t="s">
        <v>920</v>
      </c>
      <c r="N12" s="749">
        <f>'2'!F9</f>
        <v>112.97799999999999</v>
      </c>
    </row>
    <row r="13" spans="1:14" ht="20.100000000000001" customHeight="1">
      <c r="A13" s="752" t="str">
        <f>"1) "</f>
        <v xml:space="preserve">1) </v>
      </c>
      <c r="B13" s="2041" t="str">
        <f>"" &amp;TEXT(TY,"[$-439]Mmm-yy")&amp;" में विद्युत उत्पादन की संस्थापित क्षमता में "&amp;N12&amp; " मेगावाट का संवर्धन किया गया ।"</f>
        <v>जून-21 में विद्युत उत्पादन की संस्थापित क्षमता में 112.978 मेगावाट का संवर्धन किया गया ।</v>
      </c>
      <c r="C13" s="2041"/>
      <c r="D13" s="2041"/>
      <c r="E13" s="2041"/>
      <c r="F13" s="2041"/>
      <c r="G13" s="2041"/>
      <c r="K13" s="749" t="s">
        <v>921</v>
      </c>
      <c r="L13" s="753" t="s">
        <v>922</v>
      </c>
      <c r="M13" s="751" t="s">
        <v>923</v>
      </c>
      <c r="N13" s="749">
        <f>'5'!F9</f>
        <v>851</v>
      </c>
    </row>
    <row r="14" spans="1:14" ht="33.75" customHeight="1">
      <c r="A14" s="752" t="s">
        <v>924</v>
      </c>
      <c r="B14" s="2042" t="str">
        <f>" "&amp;TEXT(TY,"[$-439]Mmm-yy")&amp;"  में पारेषण की क्षमता में "&amp;N13&amp;" सर्किट कि.मी. की लाईन एवम "&amp;N14&amp;" एम.वी.ए. की ट्रांसफॉर्मेशन क्षमता का संवर्धन किया गया ।"</f>
        <v> जून-21  में पारेषण की क्षमता में 851 सर्किट कि.मी. की लाईन एवम 3222 एम.वी.ए. की ट्रांसफॉर्मेशन क्षमता का संवर्धन किया गया ।</v>
      </c>
      <c r="C14" s="2042"/>
      <c r="D14" s="2042"/>
      <c r="E14" s="2042"/>
      <c r="F14" s="2042"/>
      <c r="G14" s="2042"/>
      <c r="M14" s="753" t="s">
        <v>925</v>
      </c>
      <c r="N14" s="749">
        <f>'6'!F10</f>
        <v>3222</v>
      </c>
    </row>
    <row r="15" spans="1:14" ht="19.5" customHeight="1">
      <c r="A15" s="752" t="s">
        <v>926</v>
      </c>
      <c r="B15" s="2041" t="str">
        <f>" "&amp;TEXT(TY,"[$-439]Mmm-yy")&amp;" में कुल विद्युत उत्पादन(सभी पारंपरिक स्रोतों से), पिछले वर्ष में इसी माह की तुलना में "&amp;ABS(N15)&amp;"% "&amp;IF(N15&gt;0,K13,L13)&amp;" किया गया ।"</f>
        <v xml:space="preserve"> जून-21 में कुल विद्युत उत्पादन(सभी पारंपरिक स्रोतों से), पिछले वर्ष में इसी माह की तुलना में 6.27% अधिक किया गया ।</v>
      </c>
      <c r="C15" s="2041"/>
      <c r="D15" s="2041"/>
      <c r="E15" s="2041"/>
      <c r="F15" s="2041"/>
      <c r="G15" s="2041"/>
      <c r="I15" s="753" t="s">
        <v>927</v>
      </c>
      <c r="M15" s="753" t="s">
        <v>928</v>
      </c>
      <c r="N15" s="754">
        <f>ROUND('1A'!H9,2)</f>
        <v>6.27</v>
      </c>
    </row>
    <row r="16" spans="1:14" ht="26.25" customHeight="1">
      <c r="A16" s="752" t="s">
        <v>929</v>
      </c>
      <c r="B16" s="2042" t="str">
        <f>" "&amp;TEXT(TY,"[$-439]Mmm-yy") &amp;" में नवी एवं नवीकरणीय ऊर्जा स्रोतों से विद्युत उत्पादन, पिछले वर्ष में इसी माह की तुलना में "&amp;N16&amp; "% कम हुआ है।"</f>
        <v xml:space="preserve"> जून-21 में नवी एवं नवीकरणीय ऊर्जा स्रोतों से विद्युत उत्पादन, पिछले वर्ष में इसी माह की तुलना में 13.52% कम हुआ है।</v>
      </c>
      <c r="C16" s="2042"/>
      <c r="D16" s="2042"/>
      <c r="E16" s="2042"/>
      <c r="F16" s="2042"/>
      <c r="G16" s="2042"/>
      <c r="M16" s="753" t="s">
        <v>930</v>
      </c>
      <c r="N16" s="755">
        <f>ROUND('1B'!J7,2)</f>
        <v>13.52</v>
      </c>
    </row>
    <row r="17" spans="1:15" ht="30.75" customHeight="1">
      <c r="A17" s="752" t="s">
        <v>931</v>
      </c>
      <c r="B17" s="2045" t="str">
        <f>" " &amp;TEXT(tfy,"[$-439]Mmm-yy")&amp;" से "&amp;TEXT(TY,"[$-439]Mmm-yy") &amp;"  की अवधि में, देश में, उच्चतम मांग एवम ऊर्जा की आपूर्ति, पिछले वर्ष में इसी अवधि की तुलना में, क्रमश:"&amp;M26&amp;" % एवम "&amp;O26&amp;" % अधिक रही ।"</f>
        <v xml:space="preserve"> अप्रैल-21 से जून-21  की अवधि में, देश में, उच्चतम मांग एवम ऊर्जा की आपूर्ति, पिछले वर्ष में इसी अवधि की तुलना में, क्रमश:-6.01 % एवम -100 % अधिक रही ।</v>
      </c>
      <c r="C17" s="2045"/>
      <c r="D17" s="2045"/>
      <c r="E17" s="2045"/>
      <c r="F17" s="2045"/>
      <c r="G17" s="2045"/>
      <c r="K17" s="749" t="str">
        <f>IF(N15&gt;0,K13,L13)</f>
        <v>अधिक</v>
      </c>
    </row>
    <row r="18" spans="1:15" ht="29.25" customHeight="1">
      <c r="A18" s="752" t="s">
        <v>932</v>
      </c>
      <c r="B18" s="2042" t="str">
        <f>" "&amp;TEXT(tfy,"[$-439]Mmm-yy")&amp;" से "&amp;TEXT(TY,"[$-439]Mmm-yy")&amp;" की अवधि में देश में ऊर्जा की मांग-आपूर्ति में अंतर पिछले वर्ष में इसी अवधि की तुलना में 0.6 % से घटकर 0.5% रह गया ।"</f>
        <v xml:space="preserve"> अप्रैल-21 से जून-21 की अवधि में देश में ऊर्जा की मांग-आपूर्ति में अंतर पिछले वर्ष में इसी अवधि की तुलना में 0.6 % से घटकर 0.5% रह गया ।</v>
      </c>
      <c r="C18" s="2042"/>
      <c r="D18" s="2042"/>
      <c r="E18" s="2042"/>
      <c r="F18" s="2042"/>
      <c r="G18" s="2042"/>
    </row>
    <row r="19" spans="1:15" ht="33" customHeight="1">
      <c r="A19" s="752" t="s">
        <v>933</v>
      </c>
      <c r="B19" s="2042" t="str">
        <f>" "&amp;TEXT(tfy,"[$-439]Mmm-yy")&amp;" से "&amp;TEXT(TY,"[$-439]Mmm-yy")&amp;" की अवधि में देश में उच्चतम मांग-आपूर्ति में अंतर पिछले वर्ष में इसी अवधि की तुलना में 0.8 % से घटकर 0.7% रह गया ।"</f>
        <v xml:space="preserve"> अप्रैल-21 से जून-21 की अवधि में देश में उच्चतम मांग-आपूर्ति में अंतर पिछले वर्ष में इसी अवधि की तुलना में 0.8 % से घटकर 0.7% रह गया ।</v>
      </c>
      <c r="C19" s="2042"/>
      <c r="D19" s="2042"/>
      <c r="E19" s="2042"/>
      <c r="F19" s="2042"/>
      <c r="G19" s="2042"/>
    </row>
    <row r="20" spans="1:15" ht="15">
      <c r="A20" s="748"/>
      <c r="B20" s="748"/>
      <c r="C20" s="748"/>
      <c r="D20" s="748"/>
      <c r="E20" s="748"/>
      <c r="F20" s="748"/>
      <c r="G20" s="748"/>
    </row>
    <row r="21" spans="1:15" ht="15">
      <c r="A21" s="748" t="s">
        <v>934</v>
      </c>
      <c r="B21" s="748"/>
      <c r="C21" s="748"/>
      <c r="D21" s="748"/>
      <c r="E21" s="748"/>
      <c r="F21" s="748"/>
      <c r="G21" s="748"/>
    </row>
    <row r="22" spans="1:15" ht="29.25">
      <c r="A22" s="748"/>
      <c r="B22" s="748"/>
      <c r="C22" s="748"/>
      <c r="D22" s="748"/>
      <c r="E22" s="748"/>
      <c r="F22" s="748"/>
      <c r="G22" s="748"/>
      <c r="L22" s="756" t="s">
        <v>935</v>
      </c>
    </row>
    <row r="23" spans="1:15" ht="15">
      <c r="A23" s="748"/>
      <c r="B23" s="748"/>
      <c r="C23" s="748"/>
      <c r="D23" s="748"/>
      <c r="E23" s="748"/>
      <c r="F23" s="748"/>
      <c r="G23" s="757" t="s">
        <v>936</v>
      </c>
    </row>
    <row r="24" spans="1:15" ht="15">
      <c r="A24" s="748" t="s">
        <v>937</v>
      </c>
      <c r="B24" s="748"/>
      <c r="C24" s="748"/>
      <c r="D24" s="748"/>
      <c r="E24" s="748"/>
      <c r="F24" s="748"/>
      <c r="G24" s="748"/>
    </row>
    <row r="25" spans="1:15" ht="15">
      <c r="A25" s="748" t="s">
        <v>938</v>
      </c>
      <c r="B25" s="748"/>
      <c r="C25" s="748"/>
      <c r="D25" s="748"/>
      <c r="E25" s="748"/>
      <c r="F25" s="748"/>
      <c r="G25" s="757" t="s">
        <v>939</v>
      </c>
      <c r="L25" s="749" t="s">
        <v>940</v>
      </c>
      <c r="M25" s="758" t="s">
        <v>941</v>
      </c>
      <c r="N25" s="753" t="s">
        <v>942</v>
      </c>
      <c r="O25" s="753" t="s">
        <v>941</v>
      </c>
    </row>
    <row r="26" spans="1:15" ht="15">
      <c r="A26" s="748" t="s">
        <v>943</v>
      </c>
      <c r="B26" s="748"/>
      <c r="C26" s="748"/>
      <c r="D26" s="748"/>
      <c r="E26" s="748"/>
      <c r="F26" s="748"/>
      <c r="G26" s="748"/>
      <c r="J26" s="749" t="str">
        <f>CTY</f>
        <v>Apr-21 to Jun-21</v>
      </c>
      <c r="L26" s="759">
        <f>F90</f>
        <v>164.98161694335937</v>
      </c>
      <c r="M26" s="755">
        <f>ROUND((L26-L27)*100/L27,2)</f>
        <v>-6.01</v>
      </c>
      <c r="N26" s="754">
        <f>F95</f>
        <v>0</v>
      </c>
      <c r="O26" s="755">
        <f>ROUND((N26-N27)*100/N27,2)</f>
        <v>-100</v>
      </c>
    </row>
    <row r="27" spans="1:15" ht="15">
      <c r="A27" s="748" t="s">
        <v>944</v>
      </c>
      <c r="B27" s="748"/>
      <c r="C27" s="748"/>
      <c r="D27" s="748"/>
      <c r="E27" s="748"/>
      <c r="F27" s="748"/>
      <c r="G27" s="748"/>
      <c r="J27" s="749" t="str">
        <f>CLY</f>
        <v>Apr-20 to Jun-20</v>
      </c>
      <c r="L27" s="754">
        <f>E90</f>
        <v>175.52799999999999</v>
      </c>
      <c r="N27" s="749">
        <f>E95</f>
        <v>766.048</v>
      </c>
    </row>
    <row r="28" spans="1:15" ht="15">
      <c r="A28" s="748" t="s">
        <v>913</v>
      </c>
      <c r="B28" s="748"/>
      <c r="C28" s="748"/>
      <c r="D28" s="748"/>
      <c r="E28" s="748"/>
      <c r="F28" s="748"/>
      <c r="G28" s="748"/>
    </row>
    <row r="29" spans="1:15" ht="15">
      <c r="A29" s="748" t="s">
        <v>945</v>
      </c>
      <c r="B29" s="748"/>
      <c r="C29" s="748"/>
      <c r="D29" s="748"/>
      <c r="E29" s="748"/>
      <c r="F29" s="748"/>
      <c r="G29" s="748"/>
    </row>
    <row r="30" spans="1:15" ht="15">
      <c r="A30" s="748"/>
      <c r="B30" s="748"/>
      <c r="C30" s="748"/>
      <c r="D30" s="748"/>
      <c r="E30" s="748"/>
      <c r="F30" s="748"/>
      <c r="G30" s="748"/>
    </row>
    <row r="32" spans="1:15" ht="15.75">
      <c r="B32" s="760" t="s">
        <v>946</v>
      </c>
    </row>
    <row r="33" spans="2:15" ht="15">
      <c r="J33" s="2041"/>
      <c r="K33" s="2041"/>
      <c r="L33" s="2041"/>
      <c r="M33" s="2041"/>
      <c r="N33" s="2041"/>
      <c r="O33" s="2041"/>
    </row>
    <row r="34" spans="2:15" ht="37.5" customHeight="1">
      <c r="B34" s="761" t="s">
        <v>1016</v>
      </c>
      <c r="C34" s="762">
        <f>TY</f>
        <v>44348</v>
      </c>
      <c r="D34" s="763" t="str">
        <f>CTY</f>
        <v>Apr-21 to Jun-21</v>
      </c>
    </row>
    <row r="35" spans="2:15" ht="15.75">
      <c r="B35" s="781">
        <f>'13'!E18</f>
        <v>11197.977999999999</v>
      </c>
      <c r="C35" s="781">
        <f>'2'!F9</f>
        <v>112.97799999999999</v>
      </c>
      <c r="D35" s="764">
        <f>'2'!E33</f>
        <v>112.97799999999999</v>
      </c>
    </row>
    <row r="36" spans="2:15" ht="15.75">
      <c r="B36" s="765"/>
      <c r="C36" s="765"/>
      <c r="D36" s="766"/>
    </row>
    <row r="39" spans="2:15" ht="15.75">
      <c r="B39" s="760" t="s">
        <v>947</v>
      </c>
    </row>
    <row r="41" spans="2:15" ht="26.25">
      <c r="B41" s="760" t="s">
        <v>948</v>
      </c>
    </row>
    <row r="43" spans="2:15" ht="33.75" customHeight="1">
      <c r="B43" s="761" t="s">
        <v>1017</v>
      </c>
      <c r="C43" s="761" t="str">
        <f>"Target for " &amp;TEXT(TY,"Mmm-yy")</f>
        <v>Target for Jun-21</v>
      </c>
      <c r="D43" s="762">
        <f>TY</f>
        <v>44348</v>
      </c>
      <c r="E43" s="761" t="str">
        <f>"Target for " &amp;TEXT(CTY,"Mmm-yy")</f>
        <v>Target for Apr-21 to Jun-21</v>
      </c>
      <c r="F43" s="761" t="str">
        <f>"Addition in " &amp;TEXT(CTY,"Mmm-yy")</f>
        <v>Addition in Apr-21 to Jun-21</v>
      </c>
    </row>
    <row r="44" spans="2:15" ht="15.75">
      <c r="B44" s="767">
        <f>'20(1)'!Z8</f>
        <v>19255</v>
      </c>
      <c r="C44" s="767">
        <f>'20(1)'!Z9</f>
        <v>3690</v>
      </c>
      <c r="D44" s="767">
        <f>'20(1)'!Z10</f>
        <v>851</v>
      </c>
      <c r="E44" s="767">
        <f>'20(1)'!Z11</f>
        <v>6564</v>
      </c>
      <c r="F44" s="767">
        <f>'20(1)'!Z12</f>
        <v>1550</v>
      </c>
    </row>
    <row r="46" spans="2:15" ht="15.75">
      <c r="B46" s="760"/>
    </row>
    <row r="48" spans="2:15" ht="26.25">
      <c r="B48" s="760" t="s">
        <v>949</v>
      </c>
    </row>
    <row r="50" spans="2:14" ht="31.5">
      <c r="B50" s="761" t="s">
        <v>1017</v>
      </c>
      <c r="C50" s="761" t="str">
        <f>"Target for " &amp;TEXT(TY,"Mmm-yy")</f>
        <v>Target for Jun-21</v>
      </c>
      <c r="D50" s="762">
        <f>TY</f>
        <v>44348</v>
      </c>
      <c r="E50" s="761" t="str">
        <f>"Target for " &amp;TEXT(CTY,"Mmm-yy")</f>
        <v>Target for Apr-21 to Jun-21</v>
      </c>
      <c r="F50" s="761" t="str">
        <f>"Addition in " &amp;TEXT(CTY,"Mmm-yy")</f>
        <v>Addition in Apr-21 to Jun-21</v>
      </c>
      <c r="J50" s="768"/>
      <c r="K50" s="768"/>
      <c r="L50" s="768"/>
      <c r="M50" s="768"/>
      <c r="N50" s="768"/>
    </row>
    <row r="51" spans="2:14" ht="15.75">
      <c r="B51" s="767">
        <f>'21(1)'!AD13</f>
        <v>81545</v>
      </c>
      <c r="C51" s="767">
        <f>'21(1)'!AD14</f>
        <v>9965</v>
      </c>
      <c r="D51" s="767">
        <f>'21(1)'!AD15</f>
        <v>3222</v>
      </c>
      <c r="E51" s="767">
        <f>'21(1)'!AD16</f>
        <v>19785</v>
      </c>
      <c r="F51" s="767">
        <f>'21(1)'!AD17</f>
        <v>11392</v>
      </c>
      <c r="J51" s="768"/>
      <c r="K51" s="768"/>
      <c r="L51" s="768"/>
      <c r="M51" s="768"/>
      <c r="N51" s="768"/>
    </row>
    <row r="54" spans="2:14" ht="15.75">
      <c r="B54" s="760" t="s">
        <v>904</v>
      </c>
    </row>
    <row r="56" spans="2:14" ht="15.75">
      <c r="B56" s="760" t="s">
        <v>899</v>
      </c>
    </row>
    <row r="58" spans="2:14" ht="15.75">
      <c r="B58" s="2043">
        <f>TY</f>
        <v>44348</v>
      </c>
      <c r="C58" s="2043"/>
      <c r="D58" s="2043"/>
      <c r="E58" s="2044" t="str">
        <f>CTY</f>
        <v>Apr-21 to Jun-21</v>
      </c>
      <c r="F58" s="2044"/>
      <c r="G58" s="2044"/>
    </row>
    <row r="59" spans="2:14" ht="15.75">
      <c r="B59" s="781" t="s">
        <v>896</v>
      </c>
      <c r="C59" s="781" t="s">
        <v>900</v>
      </c>
      <c r="D59" s="781" t="s">
        <v>897</v>
      </c>
      <c r="E59" s="769" t="s">
        <v>896</v>
      </c>
      <c r="F59" s="769" t="s">
        <v>898</v>
      </c>
      <c r="G59" s="769" t="s">
        <v>897</v>
      </c>
    </row>
    <row r="60" spans="2:14" ht="15.75">
      <c r="B60" s="770">
        <f>'1A'!E9</f>
        <v>112.836</v>
      </c>
      <c r="C60" s="770">
        <f>'1A'!G9</f>
        <v>106.41756000000001</v>
      </c>
      <c r="D60" s="771">
        <f>C60*100/B60</f>
        <v>94.311709029033295</v>
      </c>
      <c r="E60" s="770">
        <f>'22'!H26/1000</f>
        <v>338.084</v>
      </c>
      <c r="F60" s="770">
        <f>'22'!I26/1000</f>
        <v>325.72334999999998</v>
      </c>
      <c r="G60" s="771">
        <f>F60*100/E60</f>
        <v>96.343911572271978</v>
      </c>
    </row>
    <row r="63" spans="2:14" ht="47.25">
      <c r="B63" s="769" t="str">
        <f>"Generation in " &amp;TEXT(TY,"Mmm-yy")&amp;" (BU)"</f>
        <v>Generation in Jun-21 (BU)</v>
      </c>
      <c r="C63" s="769" t="str">
        <f>"Generation in " &amp;TEXT(LY,"Mmm-yy")&amp;" (BU)"</f>
        <v>Generation in Jun-20 (BU)</v>
      </c>
      <c r="D63" s="781" t="s">
        <v>901</v>
      </c>
      <c r="E63" s="769" t="str">
        <f>"Generation in " &amp;TEXT(CTY,"Mmm-yy")&amp;" (BU)"</f>
        <v>Generation in Apr-21 to Jun-21 (BU)</v>
      </c>
      <c r="F63" s="769" t="str">
        <f>"Generation in " &amp;TEXT(CLY,"Mmm-yy")&amp;" (BU)"</f>
        <v>Generation in Apr-20 to Jun-20 (BU)</v>
      </c>
      <c r="G63" s="781" t="s">
        <v>901</v>
      </c>
    </row>
    <row r="64" spans="2:14" ht="15.75">
      <c r="B64" s="770">
        <f>'1A'!G9</f>
        <v>106.41756000000001</v>
      </c>
      <c r="C64" s="771">
        <f>'1A'!C9:D9</f>
        <v>100.14221999999999</v>
      </c>
      <c r="D64" s="771">
        <f>(B64-C64)*100/C64</f>
        <v>6.2664278862601757</v>
      </c>
      <c r="E64" s="781">
        <f>'1A'!E32:F32</f>
        <v>325.72334999999998</v>
      </c>
      <c r="F64" s="781">
        <f>'1A'!C32</f>
        <v>277.68886000000003</v>
      </c>
      <c r="G64" s="771">
        <f>(E64-F64)*100/F64</f>
        <v>17.297953544121267</v>
      </c>
    </row>
    <row r="67" spans="2:13" ht="15.75">
      <c r="B67" s="760" t="s">
        <v>902</v>
      </c>
    </row>
    <row r="69" spans="2:13" ht="31.5">
      <c r="B69" s="769" t="str">
        <f>"PLF in "&amp;TEXT(LY,"Mmm-yy")&amp;" (%)"</f>
        <v>PLF in Jun-20 (%)</v>
      </c>
      <c r="C69" s="781" t="str">
        <f>"Target "&amp;TEXT(TY,"Mmm-yy")&amp;" (%)"</f>
        <v>Target Jun-21 (%)</v>
      </c>
      <c r="D69" s="769" t="str">
        <f>"PLF in "&amp;TEXT(TY,"Mmm-yy")&amp;" (%)"</f>
        <v>PLF in Jun-21 (%)</v>
      </c>
      <c r="E69" s="769" t="str">
        <f>"PLF in "&amp;TEXT(CLY,"Mmm-yy")&amp;" (%)"</f>
        <v>PLF in Apr-20 to Jun-20 (%)</v>
      </c>
      <c r="F69" s="769" t="str">
        <f>"Target "&amp;TEXT(CTY,"Mmm-yy")&amp;" (%)"</f>
        <v>Target Apr-21 to Jun-21 (%)</v>
      </c>
      <c r="G69" s="769" t="str">
        <f>"PLF in "&amp;TEXT(CTY,"Mmm-yy")&amp;" (%)"</f>
        <v>PLF in Apr-21 to Jun-21 (%)</v>
      </c>
    </row>
    <row r="70" spans="2:13" ht="15.75">
      <c r="B70" s="771">
        <f>'10'!D10</f>
        <v>49.881817919087048</v>
      </c>
      <c r="C70" s="772">
        <v>61</v>
      </c>
      <c r="D70" s="771">
        <v>49.18</v>
      </c>
      <c r="E70" s="772">
        <v>60.16</v>
      </c>
      <c r="F70" s="772">
        <v>59.93</v>
      </c>
      <c r="G70" s="772">
        <v>56.59</v>
      </c>
    </row>
    <row r="73" spans="2:13" ht="15.75">
      <c r="B73" s="760" t="s">
        <v>903</v>
      </c>
    </row>
    <row r="75" spans="2:13" ht="47.25">
      <c r="B75" s="769" t="str">
        <f>"Generation in "&amp;TEXT(LY,"Mmm-yy")&amp;" (BU)"</f>
        <v>Generation in Jun-20 (BU)</v>
      </c>
      <c r="C75" s="769" t="str">
        <f>"Generation in "&amp;TEXT(TY,"Mmm-yy")&amp;" (BU)"</f>
        <v>Generation in Jun-21 (BU)</v>
      </c>
      <c r="D75" s="769" t="s">
        <v>901</v>
      </c>
      <c r="E75" s="769" t="str">
        <f>"Generation in "&amp;TEXT(CLY,"Mmm-yy")&amp;" (BU)"</f>
        <v>Generation in Apr-20 to Jun-20 (BU)</v>
      </c>
      <c r="F75" s="769" t="str">
        <f>"Generation in "&amp;TEXT(CTY,"Mmm-yy")&amp;" (BU)"</f>
        <v>Generation in Apr-21 to Jun-21 (BU)</v>
      </c>
      <c r="G75" s="769" t="s">
        <v>901</v>
      </c>
    </row>
    <row r="76" spans="2:13" ht="15.75">
      <c r="B76" s="879">
        <f>'1B'!G7</f>
        <v>14.025409999999999</v>
      </c>
      <c r="C76" s="879">
        <f>'1B'!D7</f>
        <v>15.921338226000001</v>
      </c>
      <c r="D76" s="771">
        <f>(C76-B76)*100/B76</f>
        <v>13.51780964691943</v>
      </c>
      <c r="E76" s="828">
        <f>B76+'22'!H56/1000</f>
        <v>38.322361001592</v>
      </c>
      <c r="F76" s="828">
        <f>'22'!G56/1000+C76</f>
        <v>42.08587338868</v>
      </c>
      <c r="G76" s="771">
        <f>(F76-E76)*100/E76</f>
        <v>9.8206694178671672</v>
      </c>
      <c r="K76" s="782">
        <f>('1B'!H25/1000)+'1B'!G7</f>
        <v>38.322361001592</v>
      </c>
      <c r="L76" s="782"/>
      <c r="M76" s="749">
        <f>('1B'!H26/1000)+'1B'!D7</f>
        <v>15.921338226000001</v>
      </c>
    </row>
    <row r="79" spans="2:13" ht="15.75">
      <c r="B79" s="760" t="s">
        <v>905</v>
      </c>
    </row>
    <row r="80" spans="2:13">
      <c r="L80" s="782">
        <f>8.443+B76</f>
        <v>22.468409999999999</v>
      </c>
    </row>
    <row r="81" spans="2:11" ht="47.25">
      <c r="B81" s="769" t="str">
        <f>"Generation in "&amp;TEXT(LY,"Mmm-yy")&amp;" (BU)"</f>
        <v>Generation in Jun-20 (BU)</v>
      </c>
      <c r="C81" s="769" t="str">
        <f>"Generation in "&amp;TEXT(TY,"Mmm-yy")&amp;" (BU)"</f>
        <v>Generation in Jun-21 (BU)</v>
      </c>
      <c r="D81" s="769" t="s">
        <v>901</v>
      </c>
      <c r="E81" s="769" t="str">
        <f>"Generation in "&amp;TEXT(CLY,"Mmm-yy")&amp;" (BU)"</f>
        <v>Generation in Apr-20 to Jun-20 (BU)</v>
      </c>
      <c r="F81" s="769" t="str">
        <f>"Generation in "&amp;TEXT(CTY,"Mmm-yy")&amp;" (BU)"</f>
        <v>Generation in Apr-21 to Jun-21 (BU)</v>
      </c>
      <c r="G81" s="769" t="s">
        <v>901</v>
      </c>
      <c r="J81" s="782">
        <f>('1B'!H25/1000)+B76</f>
        <v>38.322361001592</v>
      </c>
    </row>
    <row r="82" spans="2:11" ht="15.75">
      <c r="B82" s="771">
        <f>'1B'!H7</f>
        <v>114.16762999999999</v>
      </c>
      <c r="C82" s="771">
        <f>'1B'!E7</f>
        <v>122.33889822600001</v>
      </c>
      <c r="D82" s="771">
        <f>(C82-B82)*100/B82</f>
        <v>7.1572548418496771</v>
      </c>
      <c r="E82" s="771">
        <f>('1A'!C32)+E76</f>
        <v>316.01122100159205</v>
      </c>
      <c r="F82" s="771">
        <f>'1A'!E32+F76</f>
        <v>367.80922338867998</v>
      </c>
      <c r="G82" s="838">
        <f>(F82-E82)*100/E82</f>
        <v>16.391190864335474</v>
      </c>
    </row>
    <row r="83" spans="2:11">
      <c r="J83" s="782"/>
      <c r="K83" s="782"/>
    </row>
    <row r="85" spans="2:11" ht="15.75">
      <c r="B85" s="760" t="s">
        <v>906</v>
      </c>
    </row>
    <row r="87" spans="2:11" ht="15.75">
      <c r="B87" s="760" t="s">
        <v>907</v>
      </c>
    </row>
    <row r="89" spans="2:11" ht="47.25">
      <c r="B89" s="769" t="str">
        <f>"Peak Met in "&amp;TEXT(LY,"Mmm-yy")&amp;" (GW)"</f>
        <v>Peak Met in Jun-20 (GW)</v>
      </c>
      <c r="C89" s="769" t="str">
        <f>"Peak Met in "&amp;TEXT(TY,"Mmm-yy")&amp;" (GW)"</f>
        <v>Peak Met in Jun-21 (GW)</v>
      </c>
      <c r="D89" s="781" t="s">
        <v>901</v>
      </c>
      <c r="E89" s="769" t="str">
        <f>"Peak Met During "&amp;TEXT(CLY,"Mmm-yy")&amp; " (GW)"</f>
        <v>Peak Met During Apr-20 to Jun-20 (GW)</v>
      </c>
      <c r="F89" s="769" t="str">
        <f>"Peak Met During "&amp;TEXT(CTY,"Mmm-yy")&amp; " (GW)"</f>
        <v>Peak Met During Apr-21 to Jun-21 (GW)</v>
      </c>
      <c r="G89" s="769" t="s">
        <v>901</v>
      </c>
    </row>
    <row r="90" spans="2:11" ht="15.75">
      <c r="B90" s="771">
        <f>'7'!F21/1000</f>
        <v>164.98161694335937</v>
      </c>
      <c r="C90" s="771">
        <f>'7'!G21/1000</f>
        <v>191.51400000000001</v>
      </c>
      <c r="D90" s="771">
        <f>(C90-B90)*100/B90</f>
        <v>16.082023893455716</v>
      </c>
      <c r="E90" s="774">
        <v>175.52799999999999</v>
      </c>
      <c r="F90" s="770">
        <f>'24'!H50/1000</f>
        <v>164.98161694335937</v>
      </c>
      <c r="G90" s="773">
        <f>(F90-E90)*100/E90</f>
        <v>-6.0083764736341898</v>
      </c>
    </row>
    <row r="92" spans="2:11" ht="15.75">
      <c r="B92" s="760" t="s">
        <v>908</v>
      </c>
    </row>
    <row r="94" spans="2:11" ht="47.25">
      <c r="B94" s="761" t="str">
        <f>"Energy Supplied in "&amp;TEXT(LY,"Mmm-yy") &amp;" (BU)"</f>
        <v>Energy Supplied in Jun-20 (BU)</v>
      </c>
      <c r="C94" s="761" t="str">
        <f>"Energy Supplied in "&amp;TEXT(TY,"Mmm-yy") &amp;" (BU)"</f>
        <v>Energy Supplied in Jun-21 (BU)</v>
      </c>
      <c r="D94" s="761" t="s">
        <v>901</v>
      </c>
      <c r="E94" s="775" t="str">
        <f>"Energy Supplied During "&amp;TEXT(CLY,"Mmm-yy")&amp; " (BU)"</f>
        <v>Energy Supplied During Apr-20 to Jun-20 (BU)</v>
      </c>
      <c r="F94" s="775" t="str">
        <f>"Energy Supplied During "&amp;TEXT(CTY,"Mmm-yy")&amp; " (BU)"</f>
        <v>Energy Supplied During Apr-21 to Jun-21 (BU)</v>
      </c>
      <c r="G94" s="775" t="s">
        <v>901</v>
      </c>
    </row>
    <row r="95" spans="2:11" ht="15.75">
      <c r="B95" s="771">
        <f>'7'!F11/1000</f>
        <v>105.08566343170865</v>
      </c>
      <c r="C95" s="771">
        <f>'7'!G11/1000</f>
        <v>114.35238859450291</v>
      </c>
      <c r="D95" s="771">
        <f>(C95-B95)*100/B95</f>
        <v>8.818258228741513</v>
      </c>
      <c r="E95" s="828">
        <v>766.048</v>
      </c>
      <c r="F95" s="770">
        <f>'23'!H50/1000</f>
        <v>0</v>
      </c>
      <c r="G95" s="773">
        <f>(F95-E95)*100/E95</f>
        <v>-100</v>
      </c>
    </row>
    <row r="97" spans="2:7" ht="15.75">
      <c r="B97" s="760" t="s">
        <v>909</v>
      </c>
    </row>
    <row r="99" spans="2:7" ht="15.75">
      <c r="B99" s="780">
        <f>LY</f>
        <v>43983</v>
      </c>
      <c r="C99" s="780">
        <f>TY</f>
        <v>44348</v>
      </c>
      <c r="D99" s="781" t="str">
        <f>CLY</f>
        <v>Apr-20 to Jun-20</v>
      </c>
      <c r="E99" s="781" t="str">
        <f>CTY</f>
        <v>Apr-21 to Jun-21</v>
      </c>
    </row>
    <row r="100" spans="2:7" ht="15.75">
      <c r="B100" s="772">
        <v>1.7</v>
      </c>
      <c r="C100" s="776">
        <f>'24'!F50</f>
        <v>1.2049379021783924</v>
      </c>
      <c r="D100" s="772">
        <v>0.8</v>
      </c>
      <c r="E100" s="776">
        <f>'24'!J50</f>
        <v>1.0227279004752488</v>
      </c>
    </row>
    <row r="102" spans="2:7" ht="15.75">
      <c r="B102" s="760" t="s">
        <v>910</v>
      </c>
    </row>
    <row r="104" spans="2:7" ht="15.75">
      <c r="B104" s="780">
        <f>LY</f>
        <v>43983</v>
      </c>
      <c r="C104" s="780">
        <f>TY</f>
        <v>44348</v>
      </c>
      <c r="D104" s="781" t="str">
        <f>CLY</f>
        <v>Apr-20 to Jun-20</v>
      </c>
      <c r="E104" s="781" t="str">
        <f>CTY</f>
        <v>Apr-21 to Jun-21</v>
      </c>
    </row>
    <row r="105" spans="2:7" ht="15.75">
      <c r="B105" s="772">
        <v>0.7</v>
      </c>
      <c r="C105" s="776">
        <f>'23'!F50</f>
        <v>0</v>
      </c>
      <c r="D105" s="772">
        <v>0.6</v>
      </c>
      <c r="E105" s="776">
        <f>'23'!J50</f>
        <v>0</v>
      </c>
    </row>
    <row r="107" spans="2:7" ht="15.75">
      <c r="B107" s="777"/>
      <c r="C107" s="778"/>
      <c r="D107" s="778"/>
      <c r="E107" s="778"/>
      <c r="F107" s="778"/>
      <c r="G107" s="778"/>
    </row>
    <row r="108" spans="2:7">
      <c r="B108" s="778"/>
      <c r="C108" s="778"/>
      <c r="D108" s="778"/>
      <c r="E108" s="778"/>
      <c r="F108" s="778"/>
      <c r="G108" s="778"/>
    </row>
    <row r="109" spans="2:7" ht="15.75">
      <c r="B109" s="780"/>
      <c r="C109" s="780"/>
      <c r="D109" s="761"/>
      <c r="E109" s="781"/>
      <c r="F109" s="781"/>
      <c r="G109" s="761"/>
    </row>
    <row r="110" spans="2:7" ht="15.75">
      <c r="B110" s="779"/>
      <c r="C110" s="779"/>
      <c r="D110" s="771"/>
      <c r="E110" s="769"/>
      <c r="F110" s="769"/>
      <c r="G110" s="773"/>
    </row>
  </sheetData>
  <mergeCells count="11">
    <mergeCell ref="B17:G17"/>
    <mergeCell ref="A11:G11"/>
    <mergeCell ref="B13:G13"/>
    <mergeCell ref="B14:G14"/>
    <mergeCell ref="B15:G15"/>
    <mergeCell ref="B16:G16"/>
    <mergeCell ref="J33:O33"/>
    <mergeCell ref="B18:G18"/>
    <mergeCell ref="B19:G19"/>
    <mergeCell ref="B58:D58"/>
    <mergeCell ref="E58:G58"/>
  </mergeCells>
  <pageMargins left="0.7" right="0.7" top="0.75" bottom="0.75" header="0.3" footer="0.3"/>
  <pageSetup paperSize="9" scale="72" orientation="portrait" r:id="rId1"/>
  <rowBreaks count="2" manualBreakCount="2">
    <brk id="30" min="2" max="6" man="1"/>
    <brk id="65" min="2" max="6"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49</vt:i4>
      </vt:variant>
    </vt:vector>
  </HeadingPairs>
  <TitlesOfParts>
    <vt:vector size="96" baseType="lpstr">
      <vt:lpstr>Cover_pg</vt:lpstr>
      <vt:lpstr>contents</vt:lpstr>
      <vt:lpstr>Abbreviation</vt:lpstr>
      <vt:lpstr>Sec-A</vt:lpstr>
      <vt:lpstr>1A</vt:lpstr>
      <vt:lpstr>1B</vt:lpstr>
      <vt:lpstr>2</vt:lpstr>
      <vt:lpstr>3</vt:lpstr>
      <vt:lpstr>4</vt:lpstr>
      <vt:lpstr>5</vt:lpstr>
      <vt:lpstr>6</vt:lpstr>
      <vt:lpstr>7</vt:lpstr>
      <vt:lpstr>8-9</vt:lpstr>
      <vt:lpstr>10</vt:lpstr>
      <vt:lpstr>11</vt:lpstr>
      <vt:lpstr>SecB</vt:lpstr>
      <vt:lpstr>12</vt:lpstr>
      <vt:lpstr>13</vt:lpstr>
      <vt:lpstr>14-19</vt:lpstr>
      <vt:lpstr>Sec-C</vt:lpstr>
      <vt:lpstr>20(1)</vt:lpstr>
      <vt:lpstr>20(2)</vt:lpstr>
      <vt:lpstr>Sec-D</vt:lpstr>
      <vt:lpstr>21(1)</vt:lpstr>
      <vt:lpstr>21(2)</vt:lpstr>
      <vt:lpstr>Sec-E</vt:lpstr>
      <vt:lpstr>22</vt:lpstr>
      <vt:lpstr>Sec-F</vt:lpstr>
      <vt:lpstr>23</vt:lpstr>
      <vt:lpstr>24</vt:lpstr>
      <vt:lpstr>25</vt:lpstr>
      <vt:lpstr>26</vt:lpstr>
      <vt:lpstr>27</vt:lpstr>
      <vt:lpstr>Sec-G</vt:lpstr>
      <vt:lpstr>28</vt:lpstr>
      <vt:lpstr>29</vt:lpstr>
      <vt:lpstr>30</vt:lpstr>
      <vt:lpstr>31</vt:lpstr>
      <vt:lpstr>Sec-H</vt:lpstr>
      <vt:lpstr>H1</vt:lpstr>
      <vt:lpstr>H2</vt:lpstr>
      <vt:lpstr>Data</vt:lpstr>
      <vt:lpstr>COM-P1</vt:lpstr>
      <vt:lpstr>COM-P2</vt:lpstr>
      <vt:lpstr>COM-P3</vt:lpstr>
      <vt:lpstr>PMO</vt:lpstr>
      <vt:lpstr>DO letter</vt:lpstr>
      <vt:lpstr>BCLY</vt:lpstr>
      <vt:lpstr>BCTY</vt:lpstr>
      <vt:lpstr>BLY</vt:lpstr>
      <vt:lpstr>BTY</vt:lpstr>
      <vt:lpstr>CLY</vt:lpstr>
      <vt:lpstr>CMCY</vt:lpstr>
      <vt:lpstr>CMLY</vt:lpstr>
      <vt:lpstr>CTY</vt:lpstr>
      <vt:lpstr>lfy</vt:lpstr>
      <vt:lpstr>LM</vt:lpstr>
      <vt:lpstr>LY</vt:lpstr>
      <vt:lpstr>'10'!Print_Area</vt:lpstr>
      <vt:lpstr>'11'!Print_Area</vt:lpstr>
      <vt:lpstr>'12'!Print_Area</vt:lpstr>
      <vt:lpstr>'13'!Print_Area</vt:lpstr>
      <vt:lpstr>'14-19'!Print_Area</vt:lpstr>
      <vt:lpstr>'1B'!Print_Area</vt:lpstr>
      <vt:lpstr>'2'!Print_Area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'4'!Print_Area</vt:lpstr>
      <vt:lpstr>'6'!Print_Area</vt:lpstr>
      <vt:lpstr>'7'!Print_Area</vt:lpstr>
      <vt:lpstr>'8-9'!Print_Area</vt:lpstr>
      <vt:lpstr>contents!Print_Area</vt:lpstr>
      <vt:lpstr>Cover_pg!Print_Area</vt:lpstr>
      <vt:lpstr>'H1'!Print_Area</vt:lpstr>
      <vt:lpstr>'H2'!Print_Area</vt:lpstr>
      <vt:lpstr>'Sec-A'!Print_Area</vt:lpstr>
      <vt:lpstr>SecB!Print_Area</vt:lpstr>
      <vt:lpstr>'Sec-C'!Print_Area</vt:lpstr>
      <vt:lpstr>'Sec-D'!Print_Area</vt:lpstr>
      <vt:lpstr>'Sec-E'!Print_Area</vt:lpstr>
      <vt:lpstr>'Sec-F'!Print_Area</vt:lpstr>
      <vt:lpstr>'Sec-G'!Print_Area</vt:lpstr>
      <vt:lpstr>'Sec-H'!Print_Area</vt:lpstr>
      <vt:lpstr>'H1'!Print_Titles</vt:lpstr>
      <vt:lpstr>tfy</vt:lpstr>
      <vt:lpstr>TM</vt:lpstr>
      <vt:lpstr>TY</vt:lpstr>
    </vt:vector>
  </TitlesOfParts>
  <Company>CEA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RKGUPTA</dc:creator>
  <cp:lastModifiedBy>Admin</cp:lastModifiedBy>
  <cp:lastPrinted>2021-09-16T17:12:55Z</cp:lastPrinted>
  <dcterms:created xsi:type="dcterms:W3CDTF">2013-09-20T07:39:43Z</dcterms:created>
  <dcterms:modified xsi:type="dcterms:W3CDTF">2021-09-20T18:34:41Z</dcterms:modified>
  <cp:contentStatus/>
</cp:coreProperties>
</file>